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codeName="Tento_zošit"/>
  <mc:AlternateContent xmlns:mc="http://schemas.openxmlformats.org/markup-compatibility/2006">
    <mc:Choice Requires="x15">
      <x15ac:absPath xmlns:x15ac="http://schemas.microsoft.com/office/spreadsheetml/2010/11/ac" url="https://d.docs.live.net/d0632ae6f107c543/Dokumenty/MUNI/Erazmus/Spreadsheets and Programming/HW 1/"/>
    </mc:Choice>
  </mc:AlternateContent>
  <xr:revisionPtr revIDLastSave="0" documentId="8_{81237FB3-1DCF-4991-AF8B-02EB2969B620}" xr6:coauthVersionLast="46" xr6:coauthVersionMax="46" xr10:uidLastSave="{00000000-0000-0000-0000-000000000000}"/>
  <bookViews>
    <workbookView xWindow="-110" yWindow="-110" windowWidth="19420" windowHeight="10420" firstSheet="1" activeTab="4" xr2:uid="{00000000-000D-0000-FFFF-FFFF00000000}"/>
  </bookViews>
  <sheets>
    <sheet name="Date functions" sheetId="1" r:id="rId1"/>
    <sheet name="Logical functions" sheetId="2" r:id="rId2"/>
    <sheet name="lookup functions" sheetId="3" r:id="rId3"/>
    <sheet name="Conditional formatting" sheetId="4" r:id="rId4"/>
    <sheet name="Solver" sheetId="5" r:id="rId5"/>
    <sheet name="1. advanced filter" sheetId="6" r:id="rId6"/>
    <sheet name="2. advanced filter" sheetId="8" r:id="rId7"/>
    <sheet name="3. advanced filter" sheetId="9" r:id="rId8"/>
  </sheets>
  <externalReferences>
    <externalReference r:id="rId9"/>
  </externalReferences>
  <definedNames>
    <definedName name="_xlnm._FilterDatabase" localSheetId="5" hidden="1">'1. advanced filter'!$A$1:$K$19</definedName>
    <definedName name="_xlnm._FilterDatabase" localSheetId="6" hidden="1">'2. advanced filter'!$A$1:$K$19</definedName>
    <definedName name="_xlnm._FilterDatabase" localSheetId="7" hidden="1">'3. advanced filter'!$A$1:$K$19</definedName>
    <definedName name="Hours">'lookup functions'!$D$6:$D$16</definedName>
    <definedName name="_xlnm.Criteria" localSheetId="5">'1. advanced filter'!$A$22:$K$24</definedName>
    <definedName name="_xlnm.Criteria" localSheetId="6">'2. advanced filter'!$A$22:$L$23</definedName>
    <definedName name="_xlnm.Criteria" localSheetId="7">'3. advanced filter'!$A$22:$L$23</definedName>
    <definedName name="Months">[1]Data!$C$3:$H$3</definedName>
    <definedName name="Rates">'lookup functions'!$E$6:$E$16</definedName>
    <definedName name="RatesTable">'lookup functions'!$H$6:$I$9</definedName>
    <definedName name="solver_adj" localSheetId="4" hidden="1">Solver!$C$15:$F$15</definedName>
    <definedName name="solver_cvg" localSheetId="4" hidden="1">0.0001</definedName>
    <definedName name="solver_drv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4" hidden="1">1</definedName>
    <definedName name="solver_est" localSheetId="4" hidden="1">1</definedName>
    <definedName name="solver_itr" localSheetId="4" hidden="1">2147483647</definedName>
    <definedName name="solver_lhs1" localSheetId="4" hidden="1">Solver!$C$15:$F$15</definedName>
    <definedName name="solver_lhs2" localSheetId="4" hidden="1">Solver!$G$21</definedName>
    <definedName name="solver_lhs3" localSheetId="4" hidden="1">Solver!$G$22</definedName>
    <definedName name="solver_lhs4" localSheetId="4" hidden="1">Solver!$G$23</definedName>
    <definedName name="solver_lhs5" localSheetId="4" hidden="1">Solver!$G$24</definedName>
    <definedName name="solver_mip" localSheetId="4" hidden="1">2147483647</definedName>
    <definedName name="solver_mni" localSheetId="4" hidden="1">30</definedName>
    <definedName name="solver_mrt" localSheetId="4" hidden="1">0.075</definedName>
    <definedName name="solver_msl" localSheetId="4" hidden="1">2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4" hidden="1">1</definedName>
    <definedName name="solver_nod" localSheetId="4" hidden="1">2147483647</definedName>
    <definedName name="solver_num" localSheetId="5" hidden="1">0</definedName>
    <definedName name="solver_num" localSheetId="6" hidden="1">0</definedName>
    <definedName name="solver_num" localSheetId="7" hidden="1">0</definedName>
    <definedName name="solver_num" localSheetId="4" hidden="1">5</definedName>
    <definedName name="solver_nwt" localSheetId="4" hidden="1">1</definedName>
    <definedName name="solver_opt" localSheetId="5" hidden="1">'1. advanced filter'!$L$14</definedName>
    <definedName name="solver_opt" localSheetId="6" hidden="1">'2. advanced filter'!$L$14</definedName>
    <definedName name="solver_opt" localSheetId="7" hidden="1">'3. advanced filter'!$L$14</definedName>
    <definedName name="solver_opt" localSheetId="4" hidden="1">Solver!$G$16</definedName>
    <definedName name="solver_pre" localSheetId="4" hidden="1">0.000001</definedName>
    <definedName name="solver_rbv" localSheetId="4" hidden="1">1</definedName>
    <definedName name="solver_rel1" localSheetId="4" hidden="1">3</definedName>
    <definedName name="solver_rel2" localSheetId="4" hidden="1">1</definedName>
    <definedName name="solver_rel3" localSheetId="4" hidden="1">1</definedName>
    <definedName name="solver_rel4" localSheetId="4" hidden="1">1</definedName>
    <definedName name="solver_rel5" localSheetId="4" hidden="1">1</definedName>
    <definedName name="solver_rhs1" localSheetId="4" hidden="1">0</definedName>
    <definedName name="solver_rhs2" localSheetId="4" hidden="1">Solver!$H$21</definedName>
    <definedName name="solver_rhs3" localSheetId="4" hidden="1">Solver!$H$22</definedName>
    <definedName name="solver_rhs4" localSheetId="4" hidden="1">Solver!$H$23</definedName>
    <definedName name="solver_rhs5" localSheetId="4" hidden="1">Solver!$H$24</definedName>
    <definedName name="solver_rlx" localSheetId="4" hidden="1">2</definedName>
    <definedName name="solver_rsd" localSheetId="4" hidden="1">0</definedName>
    <definedName name="solver_scl" localSheetId="4" hidden="1">1</definedName>
    <definedName name="solver_sho" localSheetId="4" hidden="1">2</definedName>
    <definedName name="solver_ssz" localSheetId="4" hidden="1">100</definedName>
    <definedName name="solver_tim" localSheetId="4" hidden="1">2147483647</definedName>
    <definedName name="solver_tol" localSheetId="4" hidden="1">0.01</definedName>
    <definedName name="solver_typ" localSheetId="5" hidden="1">1</definedName>
    <definedName name="solver_typ" localSheetId="6" hidden="1">1</definedName>
    <definedName name="solver_typ" localSheetId="7" hidden="1">1</definedName>
    <definedName name="solver_typ" localSheetId="4" hidden="1">1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4" hidden="1">0</definedName>
    <definedName name="solver_ver" localSheetId="5" hidden="1">3</definedName>
    <definedName name="solver_ver" localSheetId="6" hidden="1">3</definedName>
    <definedName name="solver_ver" localSheetId="7" hidden="1">3</definedName>
    <definedName name="solver_ver" localSheetId="4" hidden="1">3</definedName>
    <definedName name="Weeks">[1]Data!$B$4:$B$7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8" l="1"/>
  <c r="L23" i="9"/>
  <c r="M13" i="9"/>
  <c r="B23" i="6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H2" i="8"/>
  <c r="G22" i="5"/>
  <c r="G23" i="5"/>
  <c r="G24" i="5"/>
  <c r="G21" i="5"/>
  <c r="G16" i="5"/>
  <c r="C52" i="3"/>
  <c r="C51" i="3"/>
  <c r="C54" i="3" s="1" a="1"/>
  <c r="C54" i="3" s="1"/>
  <c r="D33" i="3"/>
  <c r="F7" i="3"/>
  <c r="F8" i="3"/>
  <c r="F9" i="3"/>
  <c r="F10" i="3"/>
  <c r="F11" i="3"/>
  <c r="F12" i="3"/>
  <c r="F13" i="3"/>
  <c r="F14" i="3"/>
  <c r="F15" i="3"/>
  <c r="F16" i="3"/>
  <c r="F6" i="3"/>
  <c r="E20" i="2"/>
  <c r="E21" i="2"/>
  <c r="E22" i="2"/>
  <c r="E23" i="2"/>
  <c r="E24" i="2"/>
  <c r="E19" i="2"/>
  <c r="D20" i="2"/>
  <c r="D21" i="2"/>
  <c r="D22" i="2"/>
  <c r="D23" i="2"/>
  <c r="D24" i="2"/>
  <c r="D19" i="2"/>
  <c r="D3" i="2"/>
  <c r="D4" i="2"/>
  <c r="D5" i="2"/>
  <c r="D6" i="2"/>
  <c r="D7" i="2"/>
  <c r="D8" i="2"/>
  <c r="D9" i="2"/>
  <c r="D2" i="2"/>
  <c r="I4" i="1"/>
  <c r="I3" i="1"/>
  <c r="G4" i="1"/>
  <c r="G3" i="1"/>
  <c r="C56" i="3" a="1"/>
  <c r="D35" i="3"/>
  <c r="C56" i="3" l="1"/>
  <c r="F18" i="3"/>
  <c r="C58" i="3"/>
  <c r="F3" i="1"/>
  <c r="B8" i="1"/>
  <c r="D8" i="1" s="1"/>
  <c r="E5" i="1"/>
  <c r="E6" i="1"/>
  <c r="F4" i="1"/>
  <c r="E4" i="1"/>
  <c r="E3" i="1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2" i="6"/>
  <c r="G8" i="1" l="1"/>
  <c r="G24" i="4"/>
  <c r="F24" i="4"/>
  <c r="G23" i="4"/>
  <c r="F23" i="4"/>
  <c r="G22" i="4"/>
  <c r="F22" i="4"/>
  <c r="G21" i="4"/>
  <c r="F21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F5" i="4"/>
  <c r="G4" i="4"/>
  <c r="F4" i="4"/>
  <c r="G3" i="4"/>
  <c r="F3" i="4"/>
  <c r="G2" i="4"/>
  <c r="F2" i="4"/>
  <c r="H45" i="3" l="1"/>
  <c r="G45" i="3"/>
  <c r="F45" i="3"/>
  <c r="E45" i="3"/>
  <c r="D45" i="3"/>
  <c r="C45" i="3"/>
  <c r="J43" i="3"/>
  <c r="J42" i="3"/>
  <c r="J41" i="3"/>
  <c r="J40" i="3"/>
  <c r="J4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<sst xmlns="http://schemas.openxmlformats.org/spreadsheetml/2006/main" count="375" uniqueCount="207">
  <si>
    <t>Year</t>
  </si>
  <si>
    <t>Month</t>
  </si>
  <si>
    <t>Day</t>
  </si>
  <si>
    <t>Date?</t>
  </si>
  <si>
    <t>End Date</t>
  </si>
  <si>
    <t>Start Date</t>
  </si>
  <si>
    <t>Days Beween two dates?</t>
  </si>
  <si>
    <t>End of next month</t>
  </si>
  <si>
    <t>monthes change</t>
  </si>
  <si>
    <t>New date</t>
  </si>
  <si>
    <t>Current time?</t>
  </si>
  <si>
    <t>Hours</t>
  </si>
  <si>
    <t>Minutes</t>
  </si>
  <si>
    <t>MOnthes Beween two dates?</t>
  </si>
  <si>
    <t>Weekday?</t>
  </si>
  <si>
    <t>Project Name</t>
  </si>
  <si>
    <t>Project Cost (£mill)</t>
  </si>
  <si>
    <t>Days Overdue</t>
  </si>
  <si>
    <t>Penalty Payment   (£ mill)</t>
  </si>
  <si>
    <t>Ambleside Disabled Toilet</t>
  </si>
  <si>
    <t>High Days</t>
  </si>
  <si>
    <t>Bath Cycle Path</t>
  </si>
  <si>
    <t>Low Days</t>
  </si>
  <si>
    <t>Buxton Brine Baths Restorations</t>
  </si>
  <si>
    <t>High Penalty</t>
  </si>
  <si>
    <t>Chester Cathedral Renovations</t>
  </si>
  <si>
    <t>Low Penalty</t>
  </si>
  <si>
    <t>Halesowen Lido Works</t>
  </si>
  <si>
    <t>Skegness Promenade Improvements</t>
  </si>
  <si>
    <t>Warrington Cricket Pitch Drainage</t>
  </si>
  <si>
    <t>York Zero Carbon Housing Project</t>
  </si>
  <si>
    <t>If project &gt;50 days overdue, 15% of project cost (Project cost in cell B2 * 15%)</t>
  </si>
  <si>
    <t>If project &gt;0 days overdue, 5% of project cost (Project cost in cell B2 * 5%)</t>
  </si>
  <si>
    <t>Anything less "On target"</t>
  </si>
  <si>
    <t>Products</t>
  </si>
  <si>
    <t>The cost of admission to the warehouse</t>
  </si>
  <si>
    <t>Shelf life months</t>
  </si>
  <si>
    <t>Cost after revaluation</t>
  </si>
  <si>
    <t>Product1</t>
  </si>
  <si>
    <t>Product2</t>
  </si>
  <si>
    <t>Product3</t>
  </si>
  <si>
    <t>Product4</t>
  </si>
  <si>
    <t>Product5</t>
  </si>
  <si>
    <t>Product6</t>
  </si>
  <si>
    <r>
      <t>Task 1.</t>
    </r>
    <r>
      <rPr>
        <sz val="12"/>
        <color rgb="FF000000"/>
        <rFont val="Arial"/>
        <family val="2"/>
        <charset val="204"/>
      </rPr>
      <t> It is necessary to overestimate the trade balances. If he product is kept in stock for more than 8 months we should reduce its price 2 times.  If it’s more than 5 months, but less than 8, it’s 1.5 times</t>
    </r>
  </si>
  <si>
    <r>
      <t>Task 2.</t>
    </r>
    <r>
      <rPr>
        <sz val="12"/>
        <color rgb="FF000000"/>
        <rFont val="Arial"/>
        <family val="2"/>
        <charset val="204"/>
      </rPr>
      <t> Analyze the cost of cash balances after the devaluation. If the price of the product is below average values, we should write off the product from the warehouse ("decommissioned").</t>
    </r>
  </si>
  <si>
    <t>Whriting off?</t>
  </si>
  <si>
    <t>Bob the Dodgy Builder - Charge Sheet</t>
  </si>
  <si>
    <t>Item</t>
  </si>
  <si>
    <t>Rate</t>
  </si>
  <si>
    <t>Total</t>
  </si>
  <si>
    <t>Rates</t>
  </si>
  <si>
    <t>Removing old plaster</t>
  </si>
  <si>
    <t>Standard</t>
  </si>
  <si>
    <t>Brew time</t>
  </si>
  <si>
    <t>Overtime</t>
  </si>
  <si>
    <t>Preparing walls</t>
  </si>
  <si>
    <t>Weekend</t>
  </si>
  <si>
    <t>Wkend OT</t>
  </si>
  <si>
    <t>Plastering walls</t>
  </si>
  <si>
    <t>Accidentally knocking off some new plaster</t>
  </si>
  <si>
    <t>Replastering bits knocked off</t>
  </si>
  <si>
    <t>Skimming</t>
  </si>
  <si>
    <t>Clear up</t>
  </si>
  <si>
    <t>Labour total</t>
  </si>
  <si>
    <t>Jan</t>
  </si>
  <si>
    <t>Feb</t>
  </si>
  <si>
    <t>Mar</t>
  </si>
  <si>
    <t>OVH (overheads)</t>
  </si>
  <si>
    <t>ovhCategory</t>
  </si>
  <si>
    <t>MAT (material)</t>
  </si>
  <si>
    <t>matCategory</t>
  </si>
  <si>
    <t>OGS (other goods/services)</t>
  </si>
  <si>
    <t>ogsCategory</t>
  </si>
  <si>
    <t>SAL (salaries)</t>
  </si>
  <si>
    <t>salCategory</t>
  </si>
  <si>
    <t>DEP (depreciation)</t>
  </si>
  <si>
    <t>depCategory</t>
  </si>
  <si>
    <t>Category ==&gt;</t>
  </si>
  <si>
    <t>Name of range ==&gt;</t>
  </si>
  <si>
    <t>Total for quarter ==&gt;</t>
  </si>
  <si>
    <t>This should give the total for this category, using an INDIRECT function</t>
  </si>
  <si>
    <t>This is typed in - you need to change this to a formula</t>
  </si>
  <si>
    <t>Months</t>
  </si>
  <si>
    <t>Apr</t>
  </si>
  <si>
    <t>May</t>
  </si>
  <si>
    <t>Jun</t>
  </si>
  <si>
    <t>Week1</t>
  </si>
  <si>
    <t>Week2</t>
  </si>
  <si>
    <t>Week3</t>
  </si>
  <si>
    <t>Week4</t>
  </si>
  <si>
    <t>Month chosen</t>
  </si>
  <si>
    <t>Choose a month from the list</t>
  </si>
  <si>
    <t>Week chosen</t>
  </si>
  <si>
    <t>Choose a week from the list</t>
  </si>
  <si>
    <t>Month position:</t>
  </si>
  <si>
    <t>Position of month in list</t>
  </si>
  <si>
    <t>Week position:</t>
  </si>
  <si>
    <t>Position of week in list</t>
  </si>
  <si>
    <t>Value</t>
  </si>
  <si>
    <t>Using INDEX</t>
  </si>
  <si>
    <t>Using ADDRESS and INDERECT</t>
  </si>
  <si>
    <t>Using OFFSET</t>
  </si>
  <si>
    <t>Alternative</t>
  </si>
  <si>
    <t>Description</t>
  </si>
  <si>
    <t>Product Name</t>
  </si>
  <si>
    <t>Quantity</t>
  </si>
  <si>
    <t>Selling price</t>
  </si>
  <si>
    <t>Purchase price</t>
  </si>
  <si>
    <t>Total value</t>
  </si>
  <si>
    <t>Updated</t>
  </si>
  <si>
    <t>A920X</t>
  </si>
  <si>
    <t>A920 converter. X type</t>
  </si>
  <si>
    <t>A920Z</t>
  </si>
  <si>
    <t>A920 converter. Z type</t>
  </si>
  <si>
    <t>A940X</t>
  </si>
  <si>
    <t>A940 converter. X type</t>
  </si>
  <si>
    <t>A940Z</t>
  </si>
  <si>
    <t>A940 converter. Z type</t>
  </si>
  <si>
    <t>A941X</t>
  </si>
  <si>
    <t>A941 converter. X type</t>
  </si>
  <si>
    <t>A941Z</t>
  </si>
  <si>
    <t>A941 converter. Z type</t>
  </si>
  <si>
    <t>A992X</t>
  </si>
  <si>
    <t>A992 converter. X type</t>
  </si>
  <si>
    <t>A992Z</t>
  </si>
  <si>
    <t>A992 converter. Z type</t>
  </si>
  <si>
    <t>B100K</t>
  </si>
  <si>
    <t>B100 converter. K type</t>
  </si>
  <si>
    <t>B100L</t>
  </si>
  <si>
    <t>B100 converter. L type</t>
  </si>
  <si>
    <t>B100M</t>
  </si>
  <si>
    <t>B100 converter. M type</t>
  </si>
  <si>
    <t>B120K</t>
  </si>
  <si>
    <t>B120 converter. K type</t>
  </si>
  <si>
    <t>B120L</t>
  </si>
  <si>
    <t>B120 converter. L type</t>
  </si>
  <si>
    <t>B120M</t>
  </si>
  <si>
    <t>B120 converter. M type</t>
  </si>
  <si>
    <t>B121K</t>
  </si>
  <si>
    <t>B121 converter. K type</t>
  </si>
  <si>
    <t>B121L</t>
  </si>
  <si>
    <t>B121 converter. L type</t>
  </si>
  <si>
    <t>B121M</t>
  </si>
  <si>
    <t>B121 converter. M type</t>
  </si>
  <si>
    <t>U152C</t>
  </si>
  <si>
    <t>U152 converter. C type</t>
  </si>
  <si>
    <t>U152V</t>
  </si>
  <si>
    <t>U152 converter. V type</t>
  </si>
  <si>
    <t>U162V</t>
  </si>
  <si>
    <t>U162 converter. C type</t>
  </si>
  <si>
    <t>U162C</t>
  </si>
  <si>
    <t>U162 converter. V type</t>
  </si>
  <si>
    <t>U182C</t>
  </si>
  <si>
    <t>U182 converter. C type</t>
  </si>
  <si>
    <t>U182V</t>
  </si>
  <si>
    <t>U182 converter. V type</t>
  </si>
  <si>
    <t>Resources Required per Pallet of Paneling Type</t>
  </si>
  <si>
    <t>Tahoe</t>
  </si>
  <si>
    <t>Pacific</t>
  </si>
  <si>
    <t>Savannah</t>
  </si>
  <si>
    <t>Aspen</t>
  </si>
  <si>
    <t>Glue (quarts)</t>
  </si>
  <si>
    <t>Pressing (hours)</t>
  </si>
  <si>
    <t>Pine chips (pounds)</t>
  </si>
  <si>
    <t>Oak chips (pounds)</t>
  </si>
  <si>
    <t xml:space="preserve">Pallets </t>
  </si>
  <si>
    <t>Profit</t>
  </si>
  <si>
    <t>Total Profit</t>
  </si>
  <si>
    <t>Used</t>
  </si>
  <si>
    <t>Available</t>
  </si>
  <si>
    <t>№</t>
  </si>
  <si>
    <t>Name of product</t>
  </si>
  <si>
    <t>Quarter</t>
  </si>
  <si>
    <t>Shipping date</t>
  </si>
  <si>
    <t>Price</t>
  </si>
  <si>
    <t>Amount</t>
  </si>
  <si>
    <t>Provider</t>
  </si>
  <si>
    <t>Consignment</t>
  </si>
  <si>
    <t>Debt</t>
  </si>
  <si>
    <t>Ball point pen blue</t>
  </si>
  <si>
    <t>"Coloring"</t>
  </si>
  <si>
    <t>Notebook in a cage 12 sheets</t>
  </si>
  <si>
    <t>"Business cat"</t>
  </si>
  <si>
    <t>Notebook in a line 12 sheets</t>
  </si>
  <si>
    <t>"Clip"</t>
  </si>
  <si>
    <t>Writing in a cage 36 sheets</t>
  </si>
  <si>
    <t>"Constant"</t>
  </si>
  <si>
    <t>Notebook in a line 36 sheets</t>
  </si>
  <si>
    <t>Notebook 48 sheets</t>
  </si>
  <si>
    <t>Pencil TM</t>
  </si>
  <si>
    <t>"Chest"</t>
  </si>
  <si>
    <t>Pencil T</t>
  </si>
  <si>
    <t>Eraser</t>
  </si>
  <si>
    <t>Cover transparent</t>
  </si>
  <si>
    <t>Set of covers 5</t>
  </si>
  <si>
    <t>Set of covers 6</t>
  </si>
  <si>
    <t>Set of covers 7</t>
  </si>
  <si>
    <t>Set of covers 8</t>
  </si>
  <si>
    <t>Cover color</t>
  </si>
  <si>
    <t>Ball point pen red</t>
  </si>
  <si>
    <t>Set of pens 4 pcs</t>
  </si>
  <si>
    <t>Set of pens 8 pcs</t>
  </si>
  <si>
    <t>&lt;2,5</t>
  </si>
  <si>
    <t>&gt;MEDIAN</t>
  </si>
  <si>
    <t>season autumn</t>
  </si>
  <si>
    <t>*set*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</si>
</sst>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kr&quot;_-;\-* #,##0.00\ &quot;kr&quot;_-;_-* &quot;-&quot;??\ &quot;kr&quot;_-;_-@_-"/>
    <numFmt numFmtId="165" formatCode="&quot;£&quot;#,##0"/>
    <numFmt numFmtId="166" formatCode="&quot;£&quot;#,##0_);\(&quot;£&quot;#,##0\);&quot;£&quot;0_);@"/>
    <numFmt numFmtId="167" formatCode="&quot;$&quot;#,##0.0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2"/>
      <color rgb="FF000000"/>
      <name val="Arial"/>
      <family val="2"/>
      <charset val="204"/>
    </font>
    <font>
      <sz val="10"/>
      <name val="Arial"/>
      <family val="2"/>
      <charset val="204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name val="Arial"/>
      <family val="2"/>
    </font>
    <font>
      <b/>
      <sz val="10"/>
      <color indexed="9"/>
      <name val="Arial"/>
      <family val="2"/>
    </font>
    <font>
      <i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  <charset val="204"/>
    </font>
    <font>
      <sz val="11"/>
      <color theme="1"/>
      <name val="Calibri Light"/>
      <family val="2"/>
      <scheme val="major"/>
    </font>
    <font>
      <sz val="9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4" tint="0.79998168889431442"/>
      </patternFill>
    </fill>
  </fills>
  <borders count="4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double">
        <color indexed="64"/>
      </top>
      <bottom style="thin">
        <color theme="1" tint="0.499984740745262"/>
      </bottom>
      <diagonal/>
    </border>
    <border>
      <left style="hair">
        <color auto="1"/>
      </left>
      <right/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/>
      <right style="hair">
        <color auto="1"/>
      </right>
      <top style="double">
        <color indexed="64"/>
      </top>
      <bottom style="thin">
        <color theme="1" tint="0.499984740745262"/>
      </bottom>
      <diagonal/>
    </border>
    <border>
      <left style="hair">
        <color auto="1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indexed="64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indexed="64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9" tint="-0.499984740745262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 style="thin">
        <color rgb="FF000000"/>
      </right>
      <top style="medium">
        <color theme="9" tint="-0.499984740745262"/>
      </top>
      <bottom style="medium">
        <color theme="9" tint="-0.499984740745262"/>
      </bottom>
      <diagonal/>
    </border>
    <border>
      <left/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3" fillId="2" borderId="1" applyNumberFormat="0" applyAlignment="0" applyProtection="0"/>
    <xf numFmtId="0" fontId="9" fillId="0" borderId="0"/>
  </cellStyleXfs>
  <cellXfs count="137">
    <xf numFmtId="0" fontId="0" fillId="0" borderId="0" xfId="0"/>
    <xf numFmtId="0" fontId="4" fillId="0" borderId="0" xfId="0" applyFont="1"/>
    <xf numFmtId="0" fontId="0" fillId="3" borderId="0" xfId="0" applyFill="1"/>
    <xf numFmtId="0" fontId="0" fillId="4" borderId="0" xfId="0" applyFill="1"/>
    <xf numFmtId="0" fontId="5" fillId="7" borderId="2" xfId="0" applyFont="1" applyFill="1" applyBorder="1" applyAlignment="1">
      <alignment vertical="center" wrapText="1"/>
    </xf>
    <xf numFmtId="0" fontId="5" fillId="7" borderId="2" xfId="0" applyFont="1" applyFill="1" applyBorder="1" applyAlignment="1">
      <alignment horizontal="right" vertical="center" wrapText="1"/>
    </xf>
    <xf numFmtId="0" fontId="0" fillId="0" borderId="2" xfId="0" applyBorder="1"/>
    <xf numFmtId="0" fontId="5" fillId="8" borderId="2" xfId="0" applyFont="1" applyFill="1" applyBorder="1"/>
    <xf numFmtId="0" fontId="0" fillId="3" borderId="2" xfId="0" applyFill="1" applyBorder="1" applyAlignment="1">
      <alignment horizontal="right"/>
    </xf>
    <xf numFmtId="0" fontId="4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1" fontId="0" fillId="3" borderId="0" xfId="0" applyNumberFormat="1" applyFill="1"/>
    <xf numFmtId="0" fontId="9" fillId="9" borderId="0" xfId="3" applyFill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10" fillId="10" borderId="0" xfId="0" applyFont="1" applyFill="1" applyBorder="1"/>
    <xf numFmtId="0" fontId="0" fillId="4" borderId="7" xfId="0" applyFill="1" applyBorder="1"/>
    <xf numFmtId="0" fontId="0" fillId="4" borderId="0" xfId="0" applyFill="1" applyBorder="1"/>
    <xf numFmtId="0" fontId="11" fillId="11" borderId="8" xfId="0" applyFont="1" applyFill="1" applyBorder="1"/>
    <xf numFmtId="0" fontId="11" fillId="11" borderId="9" xfId="0" applyFont="1" applyFill="1" applyBorder="1" applyAlignment="1">
      <alignment horizontal="center"/>
    </xf>
    <xf numFmtId="0" fontId="11" fillId="11" borderId="10" xfId="0" applyFont="1" applyFill="1" applyBorder="1" applyAlignment="1">
      <alignment horizontal="center"/>
    </xf>
    <xf numFmtId="0" fontId="0" fillId="12" borderId="6" xfId="0" applyFill="1" applyBorder="1"/>
    <xf numFmtId="0" fontId="0" fillId="5" borderId="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12" borderId="2" xfId="0" applyFill="1" applyBorder="1"/>
    <xf numFmtId="164" fontId="0" fillId="0" borderId="2" xfId="1" applyFont="1" applyBorder="1"/>
    <xf numFmtId="0" fontId="0" fillId="12" borderId="12" xfId="0" applyFill="1" applyBorder="1"/>
    <xf numFmtId="0" fontId="0" fillId="5" borderId="13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11" fillId="11" borderId="2" xfId="0" applyFont="1" applyFill="1" applyBorder="1"/>
    <xf numFmtId="0" fontId="0" fillId="4" borderId="12" xfId="0" applyFill="1" applyBorder="1"/>
    <xf numFmtId="0" fontId="0" fillId="4" borderId="13" xfId="0" applyFill="1" applyBorder="1"/>
    <xf numFmtId="0" fontId="0" fillId="4" borderId="14" xfId="0" applyFill="1" applyBorder="1"/>
    <xf numFmtId="0" fontId="9" fillId="0" borderId="0" xfId="3"/>
    <xf numFmtId="0" fontId="12" fillId="0" borderId="0" xfId="3" applyFont="1" applyAlignment="1">
      <alignment horizontal="center"/>
    </xf>
    <xf numFmtId="165" fontId="9" fillId="0" borderId="15" xfId="3" applyNumberFormat="1" applyBorder="1"/>
    <xf numFmtId="0" fontId="12" fillId="0" borderId="0" xfId="3" applyFont="1" applyAlignment="1">
      <alignment horizontal="right"/>
    </xf>
    <xf numFmtId="0" fontId="14" fillId="0" borderId="0" xfId="3" applyFont="1" applyAlignment="1">
      <alignment horizontal="center"/>
    </xf>
    <xf numFmtId="0" fontId="12" fillId="0" borderId="0" xfId="3" applyFont="1" applyAlignment="1">
      <alignment horizontal="left" indent="1"/>
    </xf>
    <xf numFmtId="166" fontId="9" fillId="0" borderId="3" xfId="3" applyNumberFormat="1" applyBorder="1"/>
    <xf numFmtId="166" fontId="9" fillId="0" borderId="4" xfId="3" applyNumberFormat="1" applyBorder="1"/>
    <xf numFmtId="166" fontId="9" fillId="0" borderId="5" xfId="3" applyNumberFormat="1" applyBorder="1"/>
    <xf numFmtId="166" fontId="9" fillId="0" borderId="6" xfId="3" applyNumberFormat="1" applyBorder="1" applyAlignment="1">
      <alignment horizontal="right"/>
    </xf>
    <xf numFmtId="166" fontId="9" fillId="0" borderId="0" xfId="3" applyNumberFormat="1" applyBorder="1"/>
    <xf numFmtId="166" fontId="9" fillId="0" borderId="7" xfId="3" applyNumberFormat="1" applyBorder="1"/>
    <xf numFmtId="166" fontId="9" fillId="0" borderId="6" xfId="3" applyNumberFormat="1" applyBorder="1"/>
    <xf numFmtId="166" fontId="9" fillId="0" borderId="12" xfId="3" applyNumberFormat="1" applyBorder="1"/>
    <xf numFmtId="166" fontId="9" fillId="0" borderId="13" xfId="3" applyNumberFormat="1" applyBorder="1"/>
    <xf numFmtId="166" fontId="9" fillId="0" borderId="14" xfId="3" applyNumberFormat="1" applyBorder="1"/>
    <xf numFmtId="0" fontId="9" fillId="13" borderId="2" xfId="3" applyFill="1" applyBorder="1" applyAlignment="1">
      <alignment horizontal="center"/>
    </xf>
    <xf numFmtId="0" fontId="12" fillId="0" borderId="0" xfId="3" applyFont="1" applyAlignment="1">
      <alignment horizontal="right" vertical="center"/>
    </xf>
    <xf numFmtId="0" fontId="9" fillId="14" borderId="2" xfId="3" applyFill="1" applyBorder="1" applyAlignment="1">
      <alignment horizontal="center" vertical="center"/>
    </xf>
    <xf numFmtId="0" fontId="9" fillId="15" borderId="2" xfId="3" applyFill="1" applyBorder="1" applyAlignment="1">
      <alignment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0" borderId="0" xfId="0" applyFont="1" applyAlignment="1">
      <alignment horizontal="left" indent="1"/>
    </xf>
    <xf numFmtId="0" fontId="0" fillId="15" borderId="2" xfId="0" applyFill="1" applyBorder="1" applyAlignment="1">
      <alignment horizontal="center"/>
    </xf>
    <xf numFmtId="0" fontId="15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left" indent="1"/>
    </xf>
    <xf numFmtId="0" fontId="0" fillId="13" borderId="2" xfId="0" applyFill="1" applyBorder="1" applyAlignment="1">
      <alignment horizontal="center"/>
    </xf>
    <xf numFmtId="0" fontId="5" fillId="5" borderId="15" xfId="0" applyFont="1" applyFill="1" applyBorder="1"/>
    <xf numFmtId="0" fontId="18" fillId="0" borderId="18" xfId="0" applyNumberFormat="1" applyFont="1" applyBorder="1"/>
    <xf numFmtId="0" fontId="18" fillId="0" borderId="19" xfId="0" applyFont="1" applyBorder="1"/>
    <xf numFmtId="1" fontId="18" fillId="0" borderId="20" xfId="0" applyNumberFormat="1" applyFont="1" applyBorder="1"/>
    <xf numFmtId="167" fontId="18" fillId="0" borderId="21" xfId="0" applyNumberFormat="1" applyFont="1" applyBorder="1"/>
    <xf numFmtId="167" fontId="18" fillId="0" borderId="22" xfId="0" applyNumberFormat="1" applyFont="1" applyBorder="1"/>
    <xf numFmtId="167" fontId="18" fillId="0" borderId="23" xfId="0" applyNumberFormat="1" applyFont="1" applyBorder="1"/>
    <xf numFmtId="14" fontId="18" fillId="0" borderId="22" xfId="0" applyNumberFormat="1" applyFont="1" applyBorder="1"/>
    <xf numFmtId="14" fontId="3" fillId="2" borderId="1" xfId="2" applyNumberFormat="1"/>
    <xf numFmtId="0" fontId="18" fillId="0" borderId="24" xfId="0" applyNumberFormat="1" applyFont="1" applyBorder="1"/>
    <xf numFmtId="0" fontId="18" fillId="0" borderId="25" xfId="0" applyFont="1" applyBorder="1"/>
    <xf numFmtId="1" fontId="18" fillId="0" borderId="26" xfId="0" applyNumberFormat="1" applyFont="1" applyBorder="1"/>
    <xf numFmtId="167" fontId="18" fillId="0" borderId="27" xfId="0" applyNumberFormat="1" applyFont="1" applyBorder="1"/>
    <xf numFmtId="14" fontId="18" fillId="0" borderId="27" xfId="0" applyNumberFormat="1" applyFont="1" applyBorder="1"/>
    <xf numFmtId="167" fontId="0" fillId="0" borderId="0" xfId="0" applyNumberFormat="1"/>
    <xf numFmtId="0" fontId="19" fillId="17" borderId="28" xfId="0" applyFont="1" applyFill="1" applyBorder="1" applyAlignment="1">
      <alignment vertical="center" wrapText="1"/>
    </xf>
    <xf numFmtId="0" fontId="19" fillId="17" borderId="28" xfId="0" applyFont="1" applyFill="1" applyBorder="1" applyAlignment="1">
      <alignment horizontal="center" vertical="center" wrapText="1"/>
    </xf>
    <xf numFmtId="0" fontId="20" fillId="17" borderId="3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32" xfId="0" applyBorder="1"/>
    <xf numFmtId="0" fontId="0" fillId="0" borderId="33" xfId="0" applyBorder="1"/>
    <xf numFmtId="0" fontId="20" fillId="17" borderId="34" xfId="0" applyFont="1" applyFill="1" applyBorder="1" applyAlignment="1">
      <alignment horizontal="center" vertical="center" wrapText="1"/>
    </xf>
    <xf numFmtId="0" fontId="19" fillId="17" borderId="35" xfId="0" applyFont="1" applyFill="1" applyBorder="1" applyAlignment="1">
      <alignment vertical="center" wrapText="1"/>
    </xf>
    <xf numFmtId="0" fontId="20" fillId="17" borderId="35" xfId="0" applyFont="1" applyFill="1" applyBorder="1" applyAlignment="1">
      <alignment horizontal="center" vertical="center" wrapText="1"/>
    </xf>
    <xf numFmtId="0" fontId="0" fillId="17" borderId="39" xfId="0" applyFill="1" applyBorder="1"/>
    <xf numFmtId="0" fontId="20" fillId="17" borderId="29" xfId="0" applyFont="1" applyFill="1" applyBorder="1" applyAlignment="1">
      <alignment horizontal="center" vertical="center" wrapText="1"/>
    </xf>
    <xf numFmtId="0" fontId="19" fillId="17" borderId="40" xfId="0" applyFont="1" applyFill="1" applyBorder="1" applyAlignment="1">
      <alignment horizontal="center" vertical="center" wrapText="1"/>
    </xf>
    <xf numFmtId="0" fontId="20" fillId="17" borderId="31" xfId="0" applyFont="1" applyFill="1" applyBorder="1" applyAlignment="1">
      <alignment horizontal="center" vertical="center" wrapText="1"/>
    </xf>
    <xf numFmtId="0" fontId="0" fillId="0" borderId="31" xfId="0" applyBorder="1"/>
    <xf numFmtId="14" fontId="0" fillId="0" borderId="0" xfId="0" applyNumberFormat="1"/>
    <xf numFmtId="164" fontId="0" fillId="0" borderId="0" xfId="1" applyFont="1"/>
    <xf numFmtId="0" fontId="4" fillId="18" borderId="0" xfId="0" applyFont="1" applyFill="1"/>
    <xf numFmtId="0" fontId="0" fillId="19" borderId="2" xfId="0" applyFill="1" applyBorder="1"/>
    <xf numFmtId="0" fontId="0" fillId="20" borderId="2" xfId="0" applyFont="1" applyFill="1" applyBorder="1"/>
    <xf numFmtId="14" fontId="0" fillId="3" borderId="0" xfId="0" applyNumberFormat="1" applyFill="1"/>
    <xf numFmtId="0" fontId="0" fillId="3" borderId="0" xfId="0" applyNumberFormat="1" applyFill="1"/>
    <xf numFmtId="22" fontId="0" fillId="3" borderId="0" xfId="0" applyNumberFormat="1" applyFill="1"/>
    <xf numFmtId="10" fontId="5" fillId="8" borderId="2" xfId="0" applyNumberFormat="1" applyFont="1" applyFill="1" applyBorder="1"/>
    <xf numFmtId="0" fontId="5" fillId="7" borderId="17" xfId="0" applyFont="1" applyFill="1" applyBorder="1" applyAlignment="1">
      <alignment horizontal="right" vertical="center" wrapText="1"/>
    </xf>
    <xf numFmtId="1" fontId="0" fillId="0" borderId="0" xfId="0" applyNumberFormat="1"/>
    <xf numFmtId="164" fontId="0" fillId="0" borderId="11" xfId="0" applyNumberFormat="1" applyFill="1" applyBorder="1" applyAlignment="1">
      <alignment horizontal="center"/>
    </xf>
    <xf numFmtId="164" fontId="0" fillId="4" borderId="0" xfId="0" applyNumberFormat="1" applyFill="1" applyBorder="1"/>
    <xf numFmtId="164" fontId="0" fillId="5" borderId="2" xfId="1" applyNumberFormat="1" applyFont="1" applyFill="1" applyBorder="1"/>
    <xf numFmtId="14" fontId="0" fillId="19" borderId="2" xfId="0" applyNumberFormat="1" applyFill="1" applyBorder="1"/>
    <xf numFmtId="0" fontId="1" fillId="19" borderId="2" xfId="0" applyFont="1" applyFill="1" applyBorder="1"/>
    <xf numFmtId="0" fontId="0" fillId="19" borderId="16" xfId="0" applyFill="1" applyBorder="1"/>
    <xf numFmtId="0" fontId="0" fillId="19" borderId="11" xfId="0" applyFill="1" applyBorder="1"/>
    <xf numFmtId="0" fontId="11" fillId="11" borderId="8" xfId="0" applyFont="1" applyFill="1" applyBorder="1" applyAlignment="1">
      <alignment horizontal="left"/>
    </xf>
    <xf numFmtId="0" fontId="11" fillId="11" borderId="10" xfId="0" applyFont="1" applyFill="1" applyBorder="1" applyAlignment="1">
      <alignment horizontal="left"/>
    </xf>
    <xf numFmtId="0" fontId="17" fillId="0" borderId="6" xfId="3" applyFont="1" applyBorder="1" applyAlignment="1">
      <alignment horizontal="left" vertical="top" wrapText="1" indent="1"/>
    </xf>
    <xf numFmtId="0" fontId="17" fillId="0" borderId="0" xfId="3" applyFont="1" applyAlignment="1">
      <alignment horizontal="left" vertical="top" wrapText="1" indent="1"/>
    </xf>
    <xf numFmtId="0" fontId="9" fillId="0" borderId="6" xfId="3" applyBorder="1" applyAlignment="1">
      <alignment horizontal="left" wrapText="1" indent="1"/>
    </xf>
    <xf numFmtId="0" fontId="9" fillId="0" borderId="0" xfId="3" applyAlignment="1">
      <alignment horizontal="left" wrapText="1" indent="1"/>
    </xf>
    <xf numFmtId="0" fontId="13" fillId="16" borderId="0" xfId="0" applyFont="1" applyFill="1" applyAlignment="1">
      <alignment horizontal="center"/>
    </xf>
    <xf numFmtId="0" fontId="20" fillId="17" borderId="36" xfId="0" applyFont="1" applyFill="1" applyBorder="1" applyAlignment="1">
      <alignment horizontal="center" vertical="center" wrapText="1"/>
    </xf>
    <xf numFmtId="0" fontId="20" fillId="17" borderId="37" xfId="0" applyFont="1" applyFill="1" applyBorder="1" applyAlignment="1">
      <alignment horizontal="center" vertical="center" wrapText="1"/>
    </xf>
    <xf numFmtId="0" fontId="20" fillId="17" borderId="38" xfId="0" applyFont="1" applyFill="1" applyBorder="1" applyAlignment="1">
      <alignment horizontal="center" vertical="center" wrapText="1"/>
    </xf>
  </cellXfs>
  <cellStyles count="4">
    <cellStyle name="Mena" xfId="1" builtinId="4"/>
    <cellStyle name="Normálna" xfId="0" builtinId="0"/>
    <cellStyle name="Vstup" xfId="2" builtinId="20"/>
    <cellStyle name="Обычный 2" xfId="3" xr:uid="{00000000-0005-0000-0000-000003000000}"/>
  </cellStyles>
  <dxfs count="13">
    <dxf>
      <alignment horizontal="center" vertical="bottom" textRotation="0" wrapText="0" indent="0" justifyLastLine="0" shrinkToFit="0" readingOrder="0"/>
    </dxf>
    <dxf>
      <numFmt numFmtId="168" formatCode="m/d/yyyy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8" formatCode="m/d/yyyy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8" formatCode="m/d/yyyy"/>
    </dxf>
    <dxf>
      <alignment horizontal="center" vertical="bottom" textRotation="0" wrapText="0" indent="0" justifyLastLine="0" shrinkToFit="0" readingOrder="0"/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312420</xdr:colOff>
      <xdr:row>1</xdr:row>
      <xdr:rowOff>99060</xdr:rowOff>
    </xdr:from>
    <xdr:to>
      <xdr:col>17</xdr:col>
      <xdr:colOff>541020</xdr:colOff>
      <xdr:row>6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96200" y="281940"/>
          <a:ext cx="4495800" cy="9677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Create the following range names:</a:t>
          </a:r>
        </a:p>
        <a:p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RatesTable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- referring to </a:t>
          </a:r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H6:I9</a:t>
          </a:r>
          <a:endParaRPr lang="et-EE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Hours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- referring to </a:t>
          </a:r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D6:D16</a:t>
          </a:r>
          <a:endParaRPr lang="et-EE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Rates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- referring to </a:t>
          </a:r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E6:E16</a:t>
          </a:r>
          <a:endParaRPr lang="et-EE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 a Vlookup function in a formula to calculate the total for each item.</a:t>
          </a:r>
        </a:p>
        <a:p>
          <a:endParaRPr lang="et-EE" sz="1100"/>
        </a:p>
      </xdr:txBody>
    </xdr:sp>
    <xdr:clientData/>
  </xdr:twoCellAnchor>
  <xdr:twoCellAnchor>
    <xdr:from>
      <xdr:col>6</xdr:col>
      <xdr:colOff>1059076</xdr:colOff>
      <xdr:row>20</xdr:row>
      <xdr:rowOff>174898</xdr:rowOff>
    </xdr:from>
    <xdr:to>
      <xdr:col>12</xdr:col>
      <xdr:colOff>597936</xdr:colOff>
      <xdr:row>28</xdr:row>
      <xdr:rowOff>157376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8121831" y="3803469"/>
          <a:ext cx="4126411" cy="14339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Create a formula which uses the LEFT function and string concatentation to calculate the range name for any category chosen - this should appear in the green cell:</a:t>
          </a:r>
        </a:p>
        <a:p>
          <a:r>
            <a:rPr lang="et-EE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Here we have also used the LOWER function to put the category code into lower case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Put a formula  into the blue cell using the INDIRECT function to calculate the total for the category entered for the three months:</a:t>
          </a:r>
        </a:p>
        <a:p>
          <a:endParaRPr lang="et-EE" sz="1100"/>
        </a:p>
      </xdr:txBody>
    </xdr:sp>
    <xdr:clientData/>
  </xdr:twoCellAnchor>
  <xdr:twoCellAnchor>
    <xdr:from>
      <xdr:col>6</xdr:col>
      <xdr:colOff>487680</xdr:colOff>
      <xdr:row>47</xdr:row>
      <xdr:rowOff>45720</xdr:rowOff>
    </xdr:from>
    <xdr:to>
      <xdr:col>12</xdr:col>
      <xdr:colOff>129540</xdr:colOff>
      <xdr:row>53</xdr:row>
      <xdr:rowOff>144780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7132320" y="8709660"/>
          <a:ext cx="4168140" cy="11963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Create formulae in the blue cells to calculate the positions of the month/week choices made in the month row/week column:</a:t>
          </a:r>
        </a:p>
        <a:p>
          <a:r>
            <a:rPr lang="et-EE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example, Feb is the 2nd month and Week4 is the 4th week</a:t>
          </a:r>
        </a:p>
        <a:p>
          <a:endParaRPr lang="ru-RU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Now add formulas in the yellow cell to show the value for this month/week combination:</a:t>
          </a:r>
        </a:p>
        <a:p>
          <a:endParaRPr lang="et-E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106680</xdr:colOff>
      <xdr:row>8</xdr:row>
      <xdr:rowOff>106680</xdr:rowOff>
    </xdr:from>
    <xdr:to>
      <xdr:col>14</xdr:col>
      <xdr:colOff>487680</xdr:colOff>
      <xdr:row>21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580120" y="1584960"/>
          <a:ext cx="3566160" cy="2423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1. Make red all cells where quantity</a:t>
          </a:r>
          <a:r>
            <a:rPr lang="en-US" sz="1100"/>
            <a:t>&gt;</a:t>
          </a:r>
          <a:r>
            <a:rPr lang="et-EE" sz="1100"/>
            <a:t>200</a:t>
          </a:r>
          <a:endParaRPr lang="en-US" sz="1100"/>
        </a:p>
        <a:p>
          <a:r>
            <a:rPr lang="en-US" sz="1100"/>
            <a:t>2. Make</a:t>
          </a:r>
          <a:r>
            <a:rPr lang="en-US" sz="1100" baseline="0"/>
            <a:t> yellow all product names which contain "M type"</a:t>
          </a:r>
        </a:p>
        <a:p>
          <a:r>
            <a:rPr lang="en-US" sz="1100" baseline="0"/>
            <a:t>3 Make green top 3 total values</a:t>
          </a:r>
        </a:p>
        <a:p>
          <a:r>
            <a:rPr lang="en-US" sz="1100" baseline="0"/>
            <a:t>4. Apply data bars on quantity</a:t>
          </a:r>
        </a:p>
        <a:p>
          <a:r>
            <a:rPr lang="en-US" sz="1100" baseline="0"/>
            <a:t>5. Apply coulour scales on selling price</a:t>
          </a:r>
        </a:p>
        <a:p>
          <a:r>
            <a:rPr lang="en-US" sz="1100" baseline="0"/>
            <a:t>6. Appy icons on puchase price</a:t>
          </a:r>
        </a:p>
        <a:p>
          <a:r>
            <a:rPr lang="en-US" sz="1100" baseline="0"/>
            <a:t>7.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ighlight all the dates in column H</a:t>
          </a:r>
          <a:r>
            <a:rPr lang="et-EE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when they are more than 15 days newer than the date I enter in cell J2.</a:t>
          </a:r>
          <a:endParaRPr lang="et-E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1</xdr:row>
      <xdr:rowOff>99060</xdr:rowOff>
    </xdr:from>
    <xdr:to>
      <xdr:col>9</xdr:col>
      <xdr:colOff>388620</xdr:colOff>
      <xdr:row>11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243840" y="281940"/>
          <a:ext cx="5631180" cy="17678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magine that you manage a factory that produces four different types of wood paneling. Each type of paneling is made by gluing and pressing together a different mixture of pine and oak chips. The following table summarizes the required amount of gluing, pressing, and mixture of wood chips required to produce a pallet of 50 units of each type of paneling: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 the next production cycle, you have 5,800 quarts of glue; 730 hours of pressing capacity; 29,200 pounds of pine chips; and 60,500 pounds of oak chips available. Further assume that each pallet of Tahoe, Pacific, Savannah, and Aspen panels can be sold for profits of $450, $1,150, $800, and $400, respectively.</a:t>
          </a:r>
          <a:endParaRPr lang="et-E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0</xdr:rowOff>
    </xdr:from>
    <xdr:to>
      <xdr:col>16</xdr:col>
      <xdr:colOff>373380</xdr:colOff>
      <xdr:row>10</xdr:row>
      <xdr:rowOff>69850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0274300" y="184150"/>
          <a:ext cx="2811780" cy="1358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Use advanced filter to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display 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 with name "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 of covers 6" or with the price &lt;2.5 </a:t>
          </a:r>
        </a:p>
        <a:p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shipping date for autumn 2015 and product name contains "Set"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quantity greater than median</a:t>
          </a:r>
          <a:endParaRPr lang="et-E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0</xdr:rowOff>
    </xdr:from>
    <xdr:to>
      <xdr:col>16</xdr:col>
      <xdr:colOff>373380</xdr:colOff>
      <xdr:row>8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997A316-9D23-4368-A14A-26140ED0065C}"/>
            </a:ext>
          </a:extLst>
        </xdr:cNvPr>
        <xdr:cNvSpPr txBox="1"/>
      </xdr:nvSpPr>
      <xdr:spPr>
        <a:xfrm>
          <a:off x="10274300" y="184150"/>
          <a:ext cx="2811780" cy="1289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Use advanced filter to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display 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 with name "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 of covers 6" or with the price &lt;2.5 </a:t>
          </a:r>
        </a:p>
        <a:p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shipping date for autumn 2015 and product name contains "Set"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quantity greater than median</a:t>
          </a:r>
          <a:endParaRPr lang="et-EE" sz="1100"/>
        </a:p>
      </xdr:txBody>
    </xdr:sp>
    <xdr:clientData/>
  </xdr:twoCellAnchor>
  <xdr:twoCellAnchor>
    <xdr:from>
      <xdr:col>1</xdr:col>
      <xdr:colOff>1358900</xdr:colOff>
      <xdr:row>27</xdr:row>
      <xdr:rowOff>177800</xdr:rowOff>
    </xdr:from>
    <xdr:to>
      <xdr:col>5</xdr:col>
      <xdr:colOff>125730</xdr:colOff>
      <xdr:row>35</xdr:row>
      <xdr:rowOff>69850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708D10F-3099-439F-9434-BB5E48DB3CD8}"/>
            </a:ext>
          </a:extLst>
        </xdr:cNvPr>
        <xdr:cNvSpPr txBox="1"/>
      </xdr:nvSpPr>
      <xdr:spPr>
        <a:xfrm>
          <a:off x="1714500" y="2203450"/>
          <a:ext cx="2811780" cy="136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Use advanced filter to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display 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 with name "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 of covers 6" or with the price &lt;2.5 </a:t>
          </a:r>
        </a:p>
        <a:p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shipping date for autumn 2015 and product name contains "Set"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quantity greater than median</a:t>
          </a:r>
          <a:endParaRPr lang="et-EE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0</xdr:rowOff>
    </xdr:from>
    <xdr:to>
      <xdr:col>16</xdr:col>
      <xdr:colOff>373380</xdr:colOff>
      <xdr:row>16</xdr:row>
      <xdr:rowOff>12700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CFC5D80-A4BA-4B84-BB91-165C8D396263}"/>
            </a:ext>
          </a:extLst>
        </xdr:cNvPr>
        <xdr:cNvSpPr txBox="1"/>
      </xdr:nvSpPr>
      <xdr:spPr>
        <a:xfrm>
          <a:off x="10274300" y="184150"/>
          <a:ext cx="2811780" cy="1301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Use advanced filter to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display 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 with name "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 of covers 6" or with the price &lt;2.5 </a:t>
          </a:r>
        </a:p>
        <a:p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shipping date for autumn 2015 and product name contains "Set"</a:t>
          </a:r>
        </a:p>
        <a:p>
          <a:r>
            <a:rPr lang="et-E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3)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quantity greater than median</a:t>
          </a:r>
          <a:endParaRPr lang="et-E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a\AppData\Local\Temp\Temp1_qf-327.zip\Six%20Month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>
        <row r="3">
          <cell r="C3" t="str">
            <v>Jan</v>
          </cell>
          <cell r="D3" t="str">
            <v>Feb</v>
          </cell>
          <cell r="E3" t="str">
            <v>Mar</v>
          </cell>
          <cell r="F3" t="str">
            <v>Apr</v>
          </cell>
          <cell r="G3" t="str">
            <v>May</v>
          </cell>
          <cell r="H3" t="str">
            <v>Jun</v>
          </cell>
        </row>
        <row r="4">
          <cell r="B4" t="str">
            <v>Week1</v>
          </cell>
        </row>
        <row r="5">
          <cell r="B5" t="str">
            <v>Week2</v>
          </cell>
        </row>
        <row r="6">
          <cell r="B6" t="str">
            <v>Week3</v>
          </cell>
        </row>
        <row r="7">
          <cell r="B7" t="str">
            <v>Week4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24" displayName="Table24" ref="A1:K19" totalsRowShown="0">
  <tableColumns count="11">
    <tableColumn id="1" xr3:uid="{00000000-0010-0000-0000-000001000000}" name="№"/>
    <tableColumn id="2" xr3:uid="{00000000-0010-0000-0000-000002000000}" name="Name of product"/>
    <tableColumn id="3" xr3:uid="{00000000-0010-0000-0000-000003000000}" name="Year"/>
    <tableColumn id="4" xr3:uid="{00000000-0010-0000-0000-000004000000}" name="Quarter" dataDxfId="8"/>
    <tableColumn id="5" xr3:uid="{00000000-0010-0000-0000-000005000000}" name="Shipping date" dataDxfId="7"/>
    <tableColumn id="6" xr3:uid="{00000000-0010-0000-0000-000006000000}" name="Price"/>
    <tableColumn id="7" xr3:uid="{00000000-0010-0000-0000-000007000000}" name="Quantity" dataDxfId="6"/>
    <tableColumn id="8" xr3:uid="{00000000-0010-0000-0000-000008000000}" name="Amount">
      <calculatedColumnFormula>Table24[[#This Row],[Price]]*Table24[[#This Row],[Quantity]]</calculatedColumnFormula>
    </tableColumn>
    <tableColumn id="9" xr3:uid="{00000000-0010-0000-0000-000009000000}" name="Provider"/>
    <tableColumn id="10" xr3:uid="{00000000-0010-0000-0000-00000A000000}" name="Consignment"/>
    <tableColumn id="11" xr3:uid="{00000000-0010-0000-0000-00000B000000}" name="Deb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0D6479-292F-4333-BFD8-FD4A29D2C2F0}" name="Table243" displayName="Table243" ref="A1:K19" totalsRowShown="0">
  <tableColumns count="11">
    <tableColumn id="1" xr3:uid="{088ABEFB-81CF-4E8B-A79A-1830FC1A13B5}" name="№"/>
    <tableColumn id="2" xr3:uid="{6B714AFC-2C58-483D-8E9B-DF9FE52CF8EE}" name="Name of product"/>
    <tableColumn id="3" xr3:uid="{2CA40947-F0DE-403C-868F-4361CB500311}" name="Year"/>
    <tableColumn id="4" xr3:uid="{3BDC95A9-8899-4DFC-B4E8-3F91583A1EE7}" name="Quarter" dataDxfId="5"/>
    <tableColumn id="5" xr3:uid="{44FA0FE8-C89F-4876-A1C8-1BAB81701E4D}" name="Shipping date" dataDxfId="4"/>
    <tableColumn id="6" xr3:uid="{B99419DE-ACBC-413C-A348-81A9D29D36F0}" name="Price"/>
    <tableColumn id="7" xr3:uid="{CA53FCE9-F841-4FDD-8220-D380535743AE}" name="Quantity" dataDxfId="3"/>
    <tableColumn id="8" xr3:uid="{4907B507-89A0-4473-9496-5AA3E6189CF0}" name="Amount">
      <calculatedColumnFormula>Table243[[#This Row],[Price]]*Table243[[#This Row],[Quantity]]</calculatedColumnFormula>
    </tableColumn>
    <tableColumn id="9" xr3:uid="{F6183AE5-894D-4ADE-A9B8-9FDC5D9132B0}" name="Provider"/>
    <tableColumn id="10" xr3:uid="{D8D2E789-B927-4BE7-BDB5-64B3E0933441}" name="Consignment"/>
    <tableColumn id="11" xr3:uid="{117B09DF-83DD-4D71-B1C2-265C79E07AE2}" name="Deb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9D5A2D-CB73-41FB-8B76-AE94AD1D3CED}" name="Table2434" displayName="Table2434" ref="A1:K19" totalsRowShown="0">
  <tableColumns count="11">
    <tableColumn id="1" xr3:uid="{C05DB1A4-C29C-4172-9D57-BE7B56053E23}" name="№"/>
    <tableColumn id="2" xr3:uid="{51660CC9-0D36-40B8-8FAE-4A6B91892641}" name="Name of product"/>
    <tableColumn id="3" xr3:uid="{4655B4CA-C26B-4341-B81B-D510A8269522}" name="Year"/>
    <tableColumn id="4" xr3:uid="{4618F3C5-4533-4074-A2E8-905180993849}" name="Quarter" dataDxfId="2"/>
    <tableColumn id="5" xr3:uid="{1402CA80-1000-4331-AE51-E8346F55C29B}" name="Shipping date" dataDxfId="1"/>
    <tableColumn id="6" xr3:uid="{C0054E15-28CC-4AC2-9391-D281D1FCFB4B}" name="Price"/>
    <tableColumn id="7" xr3:uid="{1B11EA23-38A9-4613-8307-6D830A34F0F3}" name="Quantity" dataDxfId="0"/>
    <tableColumn id="8" xr3:uid="{D5BC431D-1EE4-46AA-B258-8A243EEDF8A6}" name="Amount">
      <calculatedColumnFormula>Table2434[[#This Row],[Price]]*Table2434[[#This Row],[Quantity]]</calculatedColumnFormula>
    </tableColumn>
    <tableColumn id="9" xr3:uid="{774C4DE5-A994-49D1-A2D0-E4DE663C9C25}" name="Provider"/>
    <tableColumn id="10" xr3:uid="{8B355BFD-4A60-493E-96E8-D4E2F22ACBE2}" name="Consignment"/>
    <tableColumn id="11" xr3:uid="{6D9053AE-4493-4718-B21C-CE6CD1F97546}" name="Deb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2:I15"/>
  <sheetViews>
    <sheetView workbookViewId="0">
      <selection activeCell="B8" sqref="B8"/>
    </sheetView>
  </sheetViews>
  <sheetFormatPr defaultRowHeight="14.5" x14ac:dyDescent="0.35"/>
  <cols>
    <col min="1" max="1" width="17.08984375" customWidth="1"/>
    <col min="2" max="2" width="18.08984375" customWidth="1"/>
    <col min="5" max="5" width="8.90625" bestFit="1" customWidth="1"/>
    <col min="6" max="6" width="10.6328125" customWidth="1"/>
    <col min="7" max="7" width="17.81640625" customWidth="1"/>
    <col min="8" max="8" width="24.1796875" customWidth="1"/>
    <col min="9" max="9" width="8.90625" bestFit="1" customWidth="1"/>
  </cols>
  <sheetData>
    <row r="2" spans="1:9" x14ac:dyDescent="0.35">
      <c r="B2" s="1" t="s">
        <v>0</v>
      </c>
      <c r="C2" s="1" t="s">
        <v>1</v>
      </c>
      <c r="D2" s="1" t="s">
        <v>2</v>
      </c>
      <c r="E2" s="1" t="s">
        <v>3</v>
      </c>
      <c r="F2" s="1" t="s">
        <v>14</v>
      </c>
      <c r="G2" s="1" t="s">
        <v>7</v>
      </c>
      <c r="H2" s="1" t="s">
        <v>8</v>
      </c>
      <c r="I2" s="1" t="s">
        <v>9</v>
      </c>
    </row>
    <row r="3" spans="1:9" x14ac:dyDescent="0.35">
      <c r="A3" t="s">
        <v>4</v>
      </c>
      <c r="B3">
        <v>2020</v>
      </c>
      <c r="C3">
        <v>2</v>
      </c>
      <c r="D3">
        <v>30</v>
      </c>
      <c r="E3" s="114">
        <f>DATE(B3,C3,D3)</f>
        <v>43891</v>
      </c>
      <c r="F3" s="2">
        <f>WEEKDAY(E3)</f>
        <v>1</v>
      </c>
      <c r="G3" s="114">
        <f>EOMONTH(E3,1)</f>
        <v>43951</v>
      </c>
      <c r="H3">
        <v>2</v>
      </c>
      <c r="I3" s="114">
        <f>DATE(B3,C3+2,D3)</f>
        <v>43951</v>
      </c>
    </row>
    <row r="4" spans="1:9" x14ac:dyDescent="0.35">
      <c r="A4" t="s">
        <v>5</v>
      </c>
      <c r="B4">
        <v>2019</v>
      </c>
      <c r="C4">
        <v>6</v>
      </c>
      <c r="D4">
        <v>3</v>
      </c>
      <c r="E4" s="114">
        <f>DATE(B4,C4,D4)</f>
        <v>43619</v>
      </c>
      <c r="F4" s="2">
        <f>WEEKDAY(E4)</f>
        <v>2</v>
      </c>
      <c r="G4" s="114">
        <f>EOMONTH(E4,1)</f>
        <v>43677</v>
      </c>
      <c r="H4">
        <v>-3</v>
      </c>
      <c r="I4" s="114">
        <f>DATE(B4,C4-3,D4)</f>
        <v>43527</v>
      </c>
    </row>
    <row r="5" spans="1:9" x14ac:dyDescent="0.35">
      <c r="A5" t="s">
        <v>6</v>
      </c>
      <c r="E5" s="115">
        <f>E3-E4</f>
        <v>272</v>
      </c>
      <c r="F5" s="3"/>
    </row>
    <row r="6" spans="1:9" x14ac:dyDescent="0.35">
      <c r="A6" t="s">
        <v>13</v>
      </c>
      <c r="E6" s="115">
        <f>DATEDIF(E4,E3,"m")</f>
        <v>8</v>
      </c>
      <c r="F6" s="3"/>
    </row>
    <row r="8" spans="1:9" x14ac:dyDescent="0.35">
      <c r="A8" t="s">
        <v>10</v>
      </c>
      <c r="B8" s="116">
        <f ca="1">NOW()</f>
        <v>44326.46154733796</v>
      </c>
      <c r="C8" t="s">
        <v>11</v>
      </c>
      <c r="D8" s="2">
        <f ca="1">HOUR(B8)</f>
        <v>11</v>
      </c>
      <c r="E8" t="s">
        <v>12</v>
      </c>
      <c r="G8" s="2">
        <f ca="1">MINUTE(B8)</f>
        <v>4</v>
      </c>
    </row>
    <row r="13" spans="1:9" x14ac:dyDescent="0.35">
      <c r="F13" s="109"/>
      <c r="G13" s="109"/>
    </row>
    <row r="14" spans="1:9" x14ac:dyDescent="0.35">
      <c r="E14" s="109"/>
      <c r="F14" s="109"/>
    </row>
    <row r="15" spans="1:9" x14ac:dyDescent="0.35">
      <c r="F15" s="109"/>
      <c r="G15" s="10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1:G24"/>
  <sheetViews>
    <sheetView topLeftCell="A10" workbookViewId="0">
      <selection activeCell="D2" sqref="D2"/>
    </sheetView>
  </sheetViews>
  <sheetFormatPr defaultRowHeight="14.5" x14ac:dyDescent="0.35"/>
  <cols>
    <col min="1" max="1" width="31.08984375" bestFit="1" customWidth="1"/>
    <col min="2" max="2" width="10" customWidth="1"/>
    <col min="3" max="3" width="8.1796875" customWidth="1"/>
    <col min="4" max="4" width="8.81640625" customWidth="1"/>
    <col min="5" max="5" width="11" customWidth="1"/>
    <col min="6" max="6" width="11.08984375" bestFit="1" customWidth="1"/>
  </cols>
  <sheetData>
    <row r="1" spans="1:7" ht="43.5" x14ac:dyDescent="0.35">
      <c r="A1" s="4" t="s">
        <v>15</v>
      </c>
      <c r="B1" s="5" t="s">
        <v>16</v>
      </c>
      <c r="C1" s="5" t="s">
        <v>17</v>
      </c>
      <c r="D1" s="5" t="s">
        <v>18</v>
      </c>
      <c r="E1" s="118"/>
    </row>
    <row r="2" spans="1:7" x14ac:dyDescent="0.35">
      <c r="A2" s="6" t="s">
        <v>19</v>
      </c>
      <c r="B2" s="6">
        <v>0.65</v>
      </c>
      <c r="C2" s="6">
        <v>14</v>
      </c>
      <c r="D2" s="8">
        <f>IF(C2&gt;50,B2*$G$4,IF(C2&gt;0,B2*$G$5,"On target"))</f>
        <v>3.2500000000000001E-2</v>
      </c>
      <c r="F2" t="s">
        <v>20</v>
      </c>
      <c r="G2" s="7">
        <v>50</v>
      </c>
    </row>
    <row r="3" spans="1:7" x14ac:dyDescent="0.35">
      <c r="A3" s="6" t="s">
        <v>21</v>
      </c>
      <c r="B3" s="6">
        <v>2.2999999999999998</v>
      </c>
      <c r="C3" s="6">
        <v>-22</v>
      </c>
      <c r="D3" s="8" t="str">
        <f t="shared" ref="D3:D9" si="0">IF(C3&gt;50,B3*$G$4,IF(C3&gt;0,B3*$G$5,"On target"))</f>
        <v>On target</v>
      </c>
      <c r="F3" t="s">
        <v>22</v>
      </c>
      <c r="G3" s="7">
        <v>0</v>
      </c>
    </row>
    <row r="4" spans="1:7" x14ac:dyDescent="0.35">
      <c r="A4" s="6" t="s">
        <v>23</v>
      </c>
      <c r="B4" s="6">
        <v>14.8</v>
      </c>
      <c r="C4" s="6">
        <v>0</v>
      </c>
      <c r="D4" s="8" t="str">
        <f t="shared" si="0"/>
        <v>On target</v>
      </c>
      <c r="F4" t="s">
        <v>24</v>
      </c>
      <c r="G4" s="117">
        <v>0.15</v>
      </c>
    </row>
    <row r="5" spans="1:7" x14ac:dyDescent="0.35">
      <c r="A5" s="6" t="s">
        <v>25</v>
      </c>
      <c r="B5" s="6">
        <v>7.3</v>
      </c>
      <c r="C5" s="6">
        <v>12</v>
      </c>
      <c r="D5" s="8">
        <f t="shared" si="0"/>
        <v>0.36499999999999999</v>
      </c>
      <c r="F5" t="s">
        <v>26</v>
      </c>
      <c r="G5" s="117">
        <v>0.05</v>
      </c>
    </row>
    <row r="6" spans="1:7" x14ac:dyDescent="0.35">
      <c r="A6" s="6" t="s">
        <v>27</v>
      </c>
      <c r="B6" s="6">
        <v>3.6</v>
      </c>
      <c r="C6" s="6">
        <v>88</v>
      </c>
      <c r="D6" s="8">
        <f t="shared" si="0"/>
        <v>0.54</v>
      </c>
    </row>
    <row r="7" spans="1:7" x14ac:dyDescent="0.35">
      <c r="A7" s="6" t="s">
        <v>28</v>
      </c>
      <c r="B7" s="6">
        <v>2.6</v>
      </c>
      <c r="C7" s="6">
        <v>19</v>
      </c>
      <c r="D7" s="8">
        <f t="shared" si="0"/>
        <v>0.13</v>
      </c>
    </row>
    <row r="8" spans="1:7" x14ac:dyDescent="0.35">
      <c r="A8" s="6" t="s">
        <v>29</v>
      </c>
      <c r="B8" s="6">
        <v>0.8</v>
      </c>
      <c r="C8" s="6">
        <v>-56</v>
      </c>
      <c r="D8" s="8" t="str">
        <f t="shared" si="0"/>
        <v>On target</v>
      </c>
    </row>
    <row r="9" spans="1:7" x14ac:dyDescent="0.35">
      <c r="A9" s="6" t="s">
        <v>30</v>
      </c>
      <c r="B9" s="6">
        <v>25.4</v>
      </c>
      <c r="C9" s="6">
        <v>2</v>
      </c>
      <c r="D9" s="8">
        <f t="shared" si="0"/>
        <v>1.27</v>
      </c>
    </row>
    <row r="11" spans="1:7" x14ac:dyDescent="0.35">
      <c r="A11" t="s">
        <v>31</v>
      </c>
    </row>
    <row r="12" spans="1:7" x14ac:dyDescent="0.35">
      <c r="A12" t="s">
        <v>32</v>
      </c>
    </row>
    <row r="13" spans="1:7" x14ac:dyDescent="0.35">
      <c r="A13" t="s">
        <v>33</v>
      </c>
    </row>
    <row r="16" spans="1:7" ht="15.5" x14ac:dyDescent="0.35">
      <c r="A16" s="11" t="s">
        <v>44</v>
      </c>
    </row>
    <row r="17" spans="1:7" ht="15.5" x14ac:dyDescent="0.35">
      <c r="A17" s="11" t="s">
        <v>45</v>
      </c>
    </row>
    <row r="18" spans="1:7" ht="72.5" x14ac:dyDescent="0.35">
      <c r="A18" s="9" t="s">
        <v>34</v>
      </c>
      <c r="B18" s="9" t="s">
        <v>35</v>
      </c>
      <c r="C18" s="9" t="s">
        <v>36</v>
      </c>
      <c r="D18" s="9" t="s">
        <v>37</v>
      </c>
      <c r="E18" s="9" t="s">
        <v>46</v>
      </c>
      <c r="G18" s="10"/>
    </row>
    <row r="19" spans="1:7" x14ac:dyDescent="0.35">
      <c r="A19" t="s">
        <v>38</v>
      </c>
      <c r="B19">
        <v>200</v>
      </c>
      <c r="C19">
        <v>6</v>
      </c>
      <c r="D19" s="12">
        <f>IF(C19&gt;8,B19/2,IF(AND(C19&gt;5,C19&lt;8),B19/1.5,B19))</f>
        <v>133.33333333333334</v>
      </c>
      <c r="E19" s="12" t="str">
        <f>IF(D19&lt;AVERAGE(D19:D24),"decommissioned","ok")</f>
        <v>decommissioned</v>
      </c>
    </row>
    <row r="20" spans="1:7" x14ac:dyDescent="0.35">
      <c r="A20" t="s">
        <v>39</v>
      </c>
      <c r="B20">
        <v>500</v>
      </c>
      <c r="C20">
        <v>12</v>
      </c>
      <c r="D20" s="12">
        <f t="shared" ref="D20:D24" si="1">IF(C20&gt;8,B20/2,IF(AND(C20&gt;5,C20&lt;8),B20/1.5,B20))</f>
        <v>250</v>
      </c>
      <c r="E20" s="12" t="str">
        <f t="shared" ref="E20:E24" si="2">IF(D20&lt;AVERAGE(D20:D25),"decommissioned","ok")</f>
        <v>decommissioned</v>
      </c>
    </row>
    <row r="21" spans="1:7" x14ac:dyDescent="0.35">
      <c r="A21" t="s">
        <v>40</v>
      </c>
      <c r="B21">
        <v>700</v>
      </c>
      <c r="C21">
        <v>5</v>
      </c>
      <c r="D21" s="12">
        <f t="shared" si="1"/>
        <v>700</v>
      </c>
      <c r="E21" s="12" t="str">
        <f t="shared" si="2"/>
        <v>ok</v>
      </c>
    </row>
    <row r="22" spans="1:7" x14ac:dyDescent="0.35">
      <c r="A22" t="s">
        <v>41</v>
      </c>
      <c r="B22">
        <v>400</v>
      </c>
      <c r="C22">
        <v>7</v>
      </c>
      <c r="D22" s="12">
        <f t="shared" si="1"/>
        <v>266.66666666666669</v>
      </c>
      <c r="E22" s="12" t="str">
        <f t="shared" si="2"/>
        <v>decommissioned</v>
      </c>
      <c r="G22" s="119"/>
    </row>
    <row r="23" spans="1:7" x14ac:dyDescent="0.35">
      <c r="A23" t="s">
        <v>42</v>
      </c>
      <c r="B23">
        <v>600</v>
      </c>
      <c r="C23">
        <v>10</v>
      </c>
      <c r="D23" s="12">
        <f t="shared" si="1"/>
        <v>300</v>
      </c>
      <c r="E23" s="12" t="str">
        <f t="shared" si="2"/>
        <v>ok</v>
      </c>
    </row>
    <row r="24" spans="1:7" x14ac:dyDescent="0.35">
      <c r="A24" t="s">
        <v>43</v>
      </c>
      <c r="B24">
        <v>300</v>
      </c>
      <c r="C24">
        <v>3</v>
      </c>
      <c r="D24" s="12">
        <f t="shared" si="1"/>
        <v>300</v>
      </c>
      <c r="E24" s="12" t="str">
        <f t="shared" si="2"/>
        <v>ok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/>
  <dimension ref="B2:J58"/>
  <sheetViews>
    <sheetView topLeftCell="A42" zoomScale="98" zoomScaleNormal="115" workbookViewId="0">
      <selection activeCell="C57" sqref="C57"/>
    </sheetView>
  </sheetViews>
  <sheetFormatPr defaultRowHeight="14.5" x14ac:dyDescent="0.35"/>
  <cols>
    <col min="1" max="1" width="6.90625" customWidth="1"/>
    <col min="2" max="2" width="8.1796875" customWidth="1"/>
    <col min="3" max="3" width="41" customWidth="1"/>
    <col min="4" max="4" width="16.36328125" customWidth="1"/>
    <col min="5" max="5" width="13.54296875" customWidth="1"/>
    <col min="6" max="6" width="15.1796875" customWidth="1"/>
    <col min="7" max="7" width="17.1796875" customWidth="1"/>
    <col min="8" max="9" width="10" customWidth="1"/>
    <col min="10" max="10" width="11" customWidth="1"/>
  </cols>
  <sheetData>
    <row r="2" spans="2:10" x14ac:dyDescent="0.35">
      <c r="B2" s="14"/>
      <c r="C2" s="15"/>
      <c r="D2" s="15"/>
      <c r="E2" s="15"/>
      <c r="F2" s="15"/>
      <c r="G2" s="15"/>
      <c r="H2" s="15"/>
      <c r="I2" s="15"/>
      <c r="J2" s="16"/>
    </row>
    <row r="3" spans="2:10" x14ac:dyDescent="0.35">
      <c r="B3" s="17"/>
      <c r="C3" s="18" t="s">
        <v>47</v>
      </c>
      <c r="D3" s="18"/>
      <c r="E3" s="18"/>
      <c r="F3" s="18"/>
      <c r="G3" s="18"/>
      <c r="H3" s="18"/>
      <c r="I3" s="18"/>
      <c r="J3" s="19"/>
    </row>
    <row r="4" spans="2:10" x14ac:dyDescent="0.35">
      <c r="B4" s="17"/>
      <c r="C4" s="20"/>
      <c r="D4" s="20"/>
      <c r="E4" s="20"/>
      <c r="F4" s="20"/>
      <c r="G4" s="20"/>
      <c r="H4" s="20"/>
      <c r="I4" s="20"/>
      <c r="J4" s="19"/>
    </row>
    <row r="5" spans="2:10" x14ac:dyDescent="0.35">
      <c r="B5" s="17"/>
      <c r="C5" s="21" t="s">
        <v>48</v>
      </c>
      <c r="D5" s="22" t="s">
        <v>11</v>
      </c>
      <c r="E5" s="22" t="s">
        <v>49</v>
      </c>
      <c r="F5" s="23" t="s">
        <v>50</v>
      </c>
      <c r="G5" s="20"/>
      <c r="H5" s="127" t="s">
        <v>51</v>
      </c>
      <c r="I5" s="128"/>
      <c r="J5" s="19"/>
    </row>
    <row r="6" spans="2:10" x14ac:dyDescent="0.35">
      <c r="B6" s="17"/>
      <c r="C6" s="24" t="s">
        <v>52</v>
      </c>
      <c r="D6" s="25">
        <v>4</v>
      </c>
      <c r="E6" s="26" t="s">
        <v>53</v>
      </c>
      <c r="F6" s="120">
        <f t="shared" ref="F6:F16" si="0">VLOOKUP(E6,RatesTable,2,FALSE)*D6</f>
        <v>200</v>
      </c>
      <c r="G6" s="20"/>
      <c r="H6" s="27" t="s">
        <v>53</v>
      </c>
      <c r="I6" s="28">
        <v>50</v>
      </c>
      <c r="J6" s="19"/>
    </row>
    <row r="7" spans="2:10" x14ac:dyDescent="0.35">
      <c r="B7" s="17"/>
      <c r="C7" s="24" t="s">
        <v>54</v>
      </c>
      <c r="D7" s="25">
        <v>0.5</v>
      </c>
      <c r="E7" s="26" t="s">
        <v>53</v>
      </c>
      <c r="F7" s="120">
        <f t="shared" si="0"/>
        <v>25</v>
      </c>
      <c r="G7" s="20"/>
      <c r="H7" s="27" t="s">
        <v>55</v>
      </c>
      <c r="I7" s="28">
        <v>75</v>
      </c>
      <c r="J7" s="19"/>
    </row>
    <row r="8" spans="2:10" x14ac:dyDescent="0.35">
      <c r="B8" s="17"/>
      <c r="C8" s="24" t="s">
        <v>56</v>
      </c>
      <c r="D8" s="25">
        <v>3</v>
      </c>
      <c r="E8" s="26" t="s">
        <v>53</v>
      </c>
      <c r="F8" s="120">
        <f t="shared" si="0"/>
        <v>150</v>
      </c>
      <c r="G8" s="20"/>
      <c r="H8" s="27" t="s">
        <v>57</v>
      </c>
      <c r="I8" s="28">
        <v>100</v>
      </c>
      <c r="J8" s="19"/>
    </row>
    <row r="9" spans="2:10" x14ac:dyDescent="0.35">
      <c r="B9" s="17"/>
      <c r="C9" s="24" t="s">
        <v>56</v>
      </c>
      <c r="D9" s="25">
        <v>1</v>
      </c>
      <c r="E9" s="26" t="s">
        <v>55</v>
      </c>
      <c r="F9" s="120">
        <f t="shared" si="0"/>
        <v>75</v>
      </c>
      <c r="G9" s="20"/>
      <c r="H9" s="27" t="s">
        <v>58</v>
      </c>
      <c r="I9" s="28">
        <v>150</v>
      </c>
      <c r="J9" s="19"/>
    </row>
    <row r="10" spans="2:10" x14ac:dyDescent="0.35">
      <c r="B10" s="17"/>
      <c r="C10" s="24" t="s">
        <v>59</v>
      </c>
      <c r="D10" s="25">
        <v>7.5</v>
      </c>
      <c r="E10" s="26" t="s">
        <v>57</v>
      </c>
      <c r="F10" s="120">
        <f t="shared" si="0"/>
        <v>750</v>
      </c>
      <c r="G10" s="20"/>
      <c r="H10" s="20"/>
      <c r="I10" s="20"/>
      <c r="J10" s="19"/>
    </row>
    <row r="11" spans="2:10" x14ac:dyDescent="0.35">
      <c r="B11" s="17"/>
      <c r="C11" s="24" t="s">
        <v>60</v>
      </c>
      <c r="D11" s="25">
        <v>0.5</v>
      </c>
      <c r="E11" s="26" t="s">
        <v>58</v>
      </c>
      <c r="F11" s="120">
        <f t="shared" si="0"/>
        <v>75</v>
      </c>
      <c r="G11" s="20"/>
      <c r="H11" s="20"/>
      <c r="I11" s="20"/>
      <c r="J11" s="19"/>
    </row>
    <row r="12" spans="2:10" x14ac:dyDescent="0.35">
      <c r="B12" s="17"/>
      <c r="C12" s="24" t="s">
        <v>61</v>
      </c>
      <c r="D12" s="25">
        <v>2</v>
      </c>
      <c r="E12" s="26" t="s">
        <v>58</v>
      </c>
      <c r="F12" s="120">
        <f t="shared" si="0"/>
        <v>300</v>
      </c>
      <c r="G12" s="20"/>
      <c r="H12" s="20"/>
      <c r="I12" s="20"/>
      <c r="J12" s="19"/>
    </row>
    <row r="13" spans="2:10" x14ac:dyDescent="0.35">
      <c r="B13" s="17"/>
      <c r="C13" s="24" t="s">
        <v>62</v>
      </c>
      <c r="D13" s="25">
        <v>3</v>
      </c>
      <c r="E13" s="26" t="s">
        <v>53</v>
      </c>
      <c r="F13" s="120">
        <f t="shared" si="0"/>
        <v>150</v>
      </c>
      <c r="G13" s="20"/>
      <c r="H13" s="20"/>
      <c r="I13" s="20"/>
      <c r="J13" s="19"/>
    </row>
    <row r="14" spans="2:10" x14ac:dyDescent="0.35">
      <c r="B14" s="17"/>
      <c r="C14" s="24" t="s">
        <v>54</v>
      </c>
      <c r="D14" s="25">
        <v>0.5</v>
      </c>
      <c r="E14" s="26" t="s">
        <v>53</v>
      </c>
      <c r="F14" s="120">
        <f t="shared" si="0"/>
        <v>25</v>
      </c>
      <c r="G14" s="20"/>
      <c r="H14" s="20"/>
      <c r="I14" s="20"/>
      <c r="J14" s="19"/>
    </row>
    <row r="15" spans="2:10" x14ac:dyDescent="0.35">
      <c r="B15" s="17"/>
      <c r="C15" s="24" t="s">
        <v>62</v>
      </c>
      <c r="D15" s="25">
        <v>3</v>
      </c>
      <c r="E15" s="26" t="s">
        <v>53</v>
      </c>
      <c r="F15" s="120">
        <f t="shared" si="0"/>
        <v>150</v>
      </c>
      <c r="G15" s="20"/>
      <c r="H15" s="20"/>
      <c r="I15" s="20"/>
      <c r="J15" s="19"/>
    </row>
    <row r="16" spans="2:10" x14ac:dyDescent="0.35">
      <c r="B16" s="17"/>
      <c r="C16" s="29" t="s">
        <v>63</v>
      </c>
      <c r="D16" s="30">
        <v>2</v>
      </c>
      <c r="E16" s="31" t="s">
        <v>55</v>
      </c>
      <c r="F16" s="120">
        <f t="shared" si="0"/>
        <v>150</v>
      </c>
      <c r="G16" s="20"/>
      <c r="H16" s="20"/>
      <c r="I16" s="20"/>
      <c r="J16" s="19"/>
    </row>
    <row r="17" spans="2:10" x14ac:dyDescent="0.35">
      <c r="B17" s="17"/>
      <c r="C17" s="20"/>
      <c r="D17" s="20"/>
      <c r="E17" s="20"/>
      <c r="F17" s="20"/>
      <c r="G17" s="121"/>
      <c r="H17" s="20"/>
      <c r="I17" s="20"/>
      <c r="J17" s="19"/>
    </row>
    <row r="18" spans="2:10" x14ac:dyDescent="0.35">
      <c r="B18" s="17"/>
      <c r="C18" s="20"/>
      <c r="D18" s="20"/>
      <c r="E18" s="32" t="s">
        <v>64</v>
      </c>
      <c r="F18" s="122">
        <f>SUM(F6:F16)</f>
        <v>2050</v>
      </c>
      <c r="G18" s="20"/>
      <c r="H18" s="20"/>
      <c r="I18" s="20"/>
      <c r="J18" s="19"/>
    </row>
    <row r="19" spans="2:10" x14ac:dyDescent="0.35">
      <c r="B19" s="33"/>
      <c r="C19" s="34"/>
      <c r="D19" s="34"/>
      <c r="E19" s="34"/>
      <c r="F19" s="34"/>
      <c r="G19" s="34"/>
      <c r="H19" s="34"/>
      <c r="I19" s="34"/>
      <c r="J19" s="35"/>
    </row>
    <row r="23" spans="2:10" x14ac:dyDescent="0.35">
      <c r="C23" s="41" t="s">
        <v>68</v>
      </c>
      <c r="D23" s="42">
        <v>514</v>
      </c>
      <c r="E23" s="43">
        <v>652</v>
      </c>
      <c r="F23" s="44">
        <v>11</v>
      </c>
      <c r="G23" s="40" t="s">
        <v>69</v>
      </c>
      <c r="H23" s="36"/>
    </row>
    <row r="24" spans="2:10" x14ac:dyDescent="0.35">
      <c r="C24" s="41" t="s">
        <v>70</v>
      </c>
      <c r="D24" s="45">
        <v>18</v>
      </c>
      <c r="E24" s="46">
        <v>569</v>
      </c>
      <c r="F24" s="47">
        <v>174</v>
      </c>
      <c r="G24" s="40" t="s">
        <v>71</v>
      </c>
      <c r="H24" s="36"/>
    </row>
    <row r="25" spans="2:10" x14ac:dyDescent="0.35">
      <c r="C25" s="41" t="s">
        <v>72</v>
      </c>
      <c r="D25" s="48">
        <v>454</v>
      </c>
      <c r="E25" s="46">
        <v>405</v>
      </c>
      <c r="F25" s="47">
        <v>526</v>
      </c>
      <c r="G25" s="40" t="s">
        <v>73</v>
      </c>
      <c r="H25" s="36"/>
    </row>
    <row r="26" spans="2:10" x14ac:dyDescent="0.35">
      <c r="C26" s="41" t="s">
        <v>74</v>
      </c>
      <c r="D26" s="48">
        <v>451</v>
      </c>
      <c r="E26" s="46">
        <v>657</v>
      </c>
      <c r="F26" s="47">
        <v>905</v>
      </c>
      <c r="G26" s="40" t="s">
        <v>75</v>
      </c>
      <c r="H26" s="36"/>
    </row>
    <row r="27" spans="2:10" x14ac:dyDescent="0.35">
      <c r="C27" s="41" t="s">
        <v>76</v>
      </c>
      <c r="D27" s="49">
        <v>261</v>
      </c>
      <c r="E27" s="50">
        <v>34</v>
      </c>
      <c r="F27" s="51">
        <v>708</v>
      </c>
      <c r="G27" s="40" t="s">
        <v>77</v>
      </c>
      <c r="H27" s="36"/>
    </row>
    <row r="29" spans="2:10" ht="15" thickBot="1" x14ac:dyDescent="0.4">
      <c r="C29" s="37" t="s">
        <v>50</v>
      </c>
      <c r="D29" s="38">
        <v>1698</v>
      </c>
      <c r="E29" s="38">
        <v>2317</v>
      </c>
      <c r="F29" s="38">
        <v>2324</v>
      </c>
      <c r="G29" s="36"/>
      <c r="H29" s="36"/>
    </row>
    <row r="30" spans="2:10" ht="15" thickTop="1" x14ac:dyDescent="0.35">
      <c r="C30" s="36"/>
      <c r="D30" s="36"/>
      <c r="E30" s="36"/>
      <c r="F30" s="36"/>
      <c r="G30" s="36"/>
      <c r="H30" s="36"/>
    </row>
    <row r="31" spans="2:10" x14ac:dyDescent="0.35">
      <c r="C31" s="39" t="s">
        <v>78</v>
      </c>
      <c r="D31" s="52" t="s">
        <v>70</v>
      </c>
      <c r="E31" s="36"/>
      <c r="F31" s="36"/>
      <c r="G31" s="36"/>
      <c r="H31" s="36"/>
    </row>
    <row r="32" spans="2:10" x14ac:dyDescent="0.35">
      <c r="C32" s="39"/>
      <c r="D32" s="36"/>
      <c r="E32" s="36"/>
      <c r="F32" s="36"/>
      <c r="G32" s="36"/>
      <c r="H32" s="36"/>
    </row>
    <row r="33" spans="2:10" x14ac:dyDescent="0.35">
      <c r="C33" s="53" t="s">
        <v>79</v>
      </c>
      <c r="D33" s="54" t="str">
        <f>CONCATENATE(LOWER(LEFT(D31,3)),"Category")</f>
        <v>matCategory</v>
      </c>
      <c r="E33" s="129" t="s">
        <v>82</v>
      </c>
      <c r="F33" s="130"/>
      <c r="G33" s="130"/>
      <c r="H33" s="130"/>
    </row>
    <row r="35" spans="2:10" x14ac:dyDescent="0.35">
      <c r="C35" s="53" t="s">
        <v>80</v>
      </c>
      <c r="D35" s="55">
        <f ca="1">SUM(INDIRECT("D24:F24"))</f>
        <v>761</v>
      </c>
      <c r="E35" s="131" t="s">
        <v>81</v>
      </c>
      <c r="F35" s="132"/>
      <c r="G35" s="132"/>
      <c r="H35" s="132"/>
    </row>
    <row r="38" spans="2:10" x14ac:dyDescent="0.35">
      <c r="C38" s="133" t="s">
        <v>83</v>
      </c>
      <c r="D38" s="133"/>
      <c r="E38" s="133"/>
      <c r="F38" s="133"/>
      <c r="G38" s="133"/>
      <c r="H38" s="133"/>
    </row>
    <row r="39" spans="2:10" ht="18.75" customHeight="1" x14ac:dyDescent="0.35">
      <c r="B39" s="56"/>
      <c r="C39" s="57" t="s">
        <v>65</v>
      </c>
      <c r="D39" s="57" t="s">
        <v>66</v>
      </c>
      <c r="E39" s="57" t="s">
        <v>67</v>
      </c>
      <c r="F39" s="57" t="s">
        <v>84</v>
      </c>
      <c r="G39" s="57" t="s">
        <v>85</v>
      </c>
      <c r="H39" s="57" t="s">
        <v>86</v>
      </c>
      <c r="I39" s="57"/>
      <c r="J39" s="57" t="s">
        <v>50</v>
      </c>
    </row>
    <row r="40" spans="2:10" x14ac:dyDescent="0.35">
      <c r="B40" s="58" t="s">
        <v>87</v>
      </c>
      <c r="C40" s="59">
        <v>272</v>
      </c>
      <c r="D40" s="60">
        <v>251</v>
      </c>
      <c r="E40" s="60">
        <v>339</v>
      </c>
      <c r="F40" s="60">
        <v>412</v>
      </c>
      <c r="G40" s="60">
        <v>16</v>
      </c>
      <c r="H40" s="61">
        <v>137</v>
      </c>
      <c r="I40" s="56"/>
      <c r="J40" s="62">
        <f>SUM(C40:H40)</f>
        <v>1427</v>
      </c>
    </row>
    <row r="41" spans="2:10" x14ac:dyDescent="0.35">
      <c r="B41" s="58" t="s">
        <v>88</v>
      </c>
      <c r="C41" s="63">
        <v>112</v>
      </c>
      <c r="D41" s="64">
        <v>363</v>
      </c>
      <c r="E41" s="64">
        <v>162</v>
      </c>
      <c r="F41" s="64">
        <v>269</v>
      </c>
      <c r="G41" s="64">
        <v>358</v>
      </c>
      <c r="H41" s="65">
        <v>334</v>
      </c>
      <c r="I41" s="56"/>
      <c r="J41" s="66">
        <f>SUM(C41:H41)</f>
        <v>1598</v>
      </c>
    </row>
    <row r="42" spans="2:10" x14ac:dyDescent="0.35">
      <c r="B42" s="58" t="s">
        <v>89</v>
      </c>
      <c r="C42" s="63">
        <v>282</v>
      </c>
      <c r="D42" s="64">
        <v>59</v>
      </c>
      <c r="E42" s="64">
        <v>409</v>
      </c>
      <c r="F42" s="64">
        <v>215</v>
      </c>
      <c r="G42" s="64">
        <v>342</v>
      </c>
      <c r="H42" s="65">
        <v>429</v>
      </c>
      <c r="I42" s="56"/>
      <c r="J42" s="66">
        <f>SUM(C42:H42)</f>
        <v>1736</v>
      </c>
    </row>
    <row r="43" spans="2:10" x14ac:dyDescent="0.35">
      <c r="B43" s="58" t="s">
        <v>90</v>
      </c>
      <c r="C43" s="67">
        <v>114</v>
      </c>
      <c r="D43" s="68">
        <v>421</v>
      </c>
      <c r="E43" s="68">
        <v>438</v>
      </c>
      <c r="F43" s="68">
        <v>391</v>
      </c>
      <c r="G43" s="68">
        <v>110</v>
      </c>
      <c r="H43" s="69">
        <v>181</v>
      </c>
      <c r="I43" s="56"/>
      <c r="J43" s="70">
        <f>SUM(C43:H43)</f>
        <v>1655</v>
      </c>
    </row>
    <row r="44" spans="2:10" x14ac:dyDescent="0.35">
      <c r="B44" s="58"/>
      <c r="C44" s="56"/>
      <c r="D44" s="56"/>
      <c r="E44" s="56"/>
      <c r="F44" s="56"/>
      <c r="G44" s="56"/>
      <c r="H44" s="56"/>
      <c r="I44" s="56"/>
      <c r="J44" s="56"/>
    </row>
    <row r="45" spans="2:10" x14ac:dyDescent="0.35">
      <c r="B45" s="58" t="s">
        <v>50</v>
      </c>
      <c r="C45" s="71">
        <f>SUM(C40:C43)</f>
        <v>780</v>
      </c>
      <c r="D45" s="71">
        <f t="shared" ref="D45:J45" si="1">SUM(D40:D43)</f>
        <v>1094</v>
      </c>
      <c r="E45" s="71">
        <f t="shared" si="1"/>
        <v>1348</v>
      </c>
      <c r="F45" s="71">
        <f t="shared" si="1"/>
        <v>1287</v>
      </c>
      <c r="G45" s="71">
        <f t="shared" si="1"/>
        <v>826</v>
      </c>
      <c r="H45" s="71">
        <f t="shared" si="1"/>
        <v>1081</v>
      </c>
      <c r="I45" s="56"/>
      <c r="J45" s="72">
        <f t="shared" si="1"/>
        <v>6416</v>
      </c>
    </row>
    <row r="48" spans="2:10" x14ac:dyDescent="0.35">
      <c r="B48" s="73" t="s">
        <v>91</v>
      </c>
      <c r="C48" s="74" t="s">
        <v>66</v>
      </c>
      <c r="D48" s="75" t="s">
        <v>92</v>
      </c>
    </row>
    <row r="49" spans="2:4" x14ac:dyDescent="0.35">
      <c r="B49" s="73" t="s">
        <v>93</v>
      </c>
      <c r="C49" s="74" t="s">
        <v>90</v>
      </c>
      <c r="D49" s="75" t="s">
        <v>94</v>
      </c>
    </row>
    <row r="50" spans="2:4" x14ac:dyDescent="0.35">
      <c r="B50" s="58"/>
    </row>
    <row r="51" spans="2:4" x14ac:dyDescent="0.35">
      <c r="B51" s="73" t="s">
        <v>95</v>
      </c>
      <c r="C51" s="76">
        <f>MATCH(C48,C39:H39,0)</f>
        <v>2</v>
      </c>
      <c r="D51" s="75" t="s">
        <v>96</v>
      </c>
    </row>
    <row r="52" spans="2:4" x14ac:dyDescent="0.35">
      <c r="B52" s="77" t="s">
        <v>97</v>
      </c>
      <c r="C52" s="76">
        <f>MATCH(C49,B40:B43,0)</f>
        <v>4</v>
      </c>
      <c r="D52" s="78" t="s">
        <v>98</v>
      </c>
    </row>
    <row r="53" spans="2:4" x14ac:dyDescent="0.35">
      <c r="B53" s="58"/>
    </row>
    <row r="54" spans="2:4" x14ac:dyDescent="0.35">
      <c r="B54" s="58" t="s">
        <v>99</v>
      </c>
      <c r="C54" s="79" cm="1">
        <f t="array" ref="C54">INDEX(C40:H43,C52,C51)</f>
        <v>421</v>
      </c>
      <c r="D54" s="78" t="s">
        <v>100</v>
      </c>
    </row>
    <row r="55" spans="2:4" x14ac:dyDescent="0.35">
      <c r="B55" s="73"/>
    </row>
    <row r="56" spans="2:4" x14ac:dyDescent="0.35">
      <c r="B56" s="77" t="s">
        <v>103</v>
      </c>
      <c r="C56" s="79" cm="1">
        <f t="array" aca="1" ref="C56" ca="1">INDIRECT(ADDRESS(43,4))</f>
        <v>421</v>
      </c>
      <c r="D56" s="78" t="s">
        <v>101</v>
      </c>
    </row>
    <row r="58" spans="2:4" x14ac:dyDescent="0.35">
      <c r="B58" s="77" t="s">
        <v>103</v>
      </c>
      <c r="C58" s="79">
        <f ca="1">OFFSET(B39,C52,C51,1,1)</f>
        <v>421</v>
      </c>
      <c r="D58" s="78" t="s">
        <v>102</v>
      </c>
    </row>
  </sheetData>
  <mergeCells count="4">
    <mergeCell ref="H5:I5"/>
    <mergeCell ref="E33:H33"/>
    <mergeCell ref="E35:H35"/>
    <mergeCell ref="C38:H38"/>
  </mergeCells>
  <dataValidations count="3">
    <dataValidation type="list" allowBlank="1" showInputMessage="1" showErrorMessage="1" sqref="B50 B53" xr:uid="{00000000-0002-0000-0200-000000000000}">
      <formula1>$B$4:$B$7</formula1>
    </dataValidation>
    <dataValidation type="list" allowBlank="1" showInputMessage="1" showErrorMessage="1" sqref="C48" xr:uid="{00000000-0002-0000-0200-000001000000}">
      <formula1>$C$39:$H$39</formula1>
    </dataValidation>
    <dataValidation type="list" allowBlank="1" showInputMessage="1" showErrorMessage="1" sqref="C49" xr:uid="{00000000-0002-0000-0200-000002000000}">
      <formula1>$B$40:$B$43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B1:K27"/>
  <sheetViews>
    <sheetView workbookViewId="0">
      <selection activeCell="H2" sqref="H2"/>
    </sheetView>
  </sheetViews>
  <sheetFormatPr defaultRowHeight="14.5" x14ac:dyDescent="0.35"/>
  <cols>
    <col min="2" max="2" width="12.6328125" bestFit="1" customWidth="1"/>
    <col min="3" max="3" width="28.6328125" customWidth="1"/>
    <col min="4" max="4" width="11.6328125" customWidth="1"/>
    <col min="5" max="5" width="13.6328125" customWidth="1"/>
    <col min="6" max="6" width="16.36328125" customWidth="1"/>
    <col min="7" max="7" width="13" customWidth="1"/>
    <col min="8" max="8" width="12.36328125" bestFit="1" customWidth="1"/>
    <col min="9" max="9" width="6.36328125" customWidth="1"/>
    <col min="10" max="10" width="10.90625" bestFit="1" customWidth="1"/>
  </cols>
  <sheetData>
    <row r="1" spans="2:11" ht="15" thickBot="1" x14ac:dyDescent="0.4">
      <c r="B1" s="80" t="s">
        <v>104</v>
      </c>
      <c r="C1" s="80" t="s">
        <v>105</v>
      </c>
      <c r="D1" s="80" t="s">
        <v>106</v>
      </c>
      <c r="E1" s="80" t="s">
        <v>107</v>
      </c>
      <c r="F1" s="80" t="s">
        <v>108</v>
      </c>
      <c r="G1" s="80" t="s">
        <v>109</v>
      </c>
      <c r="H1" s="80" t="s">
        <v>110</v>
      </c>
    </row>
    <row r="2" spans="2:11" ht="15" thickTop="1" x14ac:dyDescent="0.35">
      <c r="B2" s="81" t="s">
        <v>111</v>
      </c>
      <c r="C2" s="82" t="s">
        <v>112</v>
      </c>
      <c r="D2" s="83">
        <v>111</v>
      </c>
      <c r="E2" s="84">
        <v>74</v>
      </c>
      <c r="F2" s="85">
        <f t="shared" ref="F2:F24" si="0">E2*0.2</f>
        <v>14.8</v>
      </c>
      <c r="G2" s="86">
        <f t="shared" ref="G2:G24" si="1">D2*E2</f>
        <v>8214</v>
      </c>
      <c r="H2" s="87">
        <v>42561</v>
      </c>
      <c r="J2" s="88">
        <v>42580</v>
      </c>
      <c r="K2" s="13"/>
    </row>
    <row r="3" spans="2:11" x14ac:dyDescent="0.35">
      <c r="B3" s="89" t="s">
        <v>113</v>
      </c>
      <c r="C3" s="90" t="s">
        <v>114</v>
      </c>
      <c r="D3" s="91">
        <v>166</v>
      </c>
      <c r="E3" s="92">
        <v>48</v>
      </c>
      <c r="F3" s="92">
        <f t="shared" si="0"/>
        <v>9.6000000000000014</v>
      </c>
      <c r="G3" s="92">
        <f t="shared" si="1"/>
        <v>7968</v>
      </c>
      <c r="H3" s="93">
        <v>42610</v>
      </c>
      <c r="K3" s="13"/>
    </row>
    <row r="4" spans="2:11" x14ac:dyDescent="0.35">
      <c r="B4" s="89" t="s">
        <v>115</v>
      </c>
      <c r="C4" s="90" t="s">
        <v>116</v>
      </c>
      <c r="D4" s="91">
        <v>266</v>
      </c>
      <c r="E4" s="92">
        <v>69</v>
      </c>
      <c r="F4" s="92">
        <f t="shared" si="0"/>
        <v>13.8</v>
      </c>
      <c r="G4" s="92">
        <f t="shared" si="1"/>
        <v>18354</v>
      </c>
      <c r="H4" s="93">
        <v>42569</v>
      </c>
      <c r="K4" s="13"/>
    </row>
    <row r="5" spans="2:11" x14ac:dyDescent="0.35">
      <c r="B5" s="89" t="s">
        <v>117</v>
      </c>
      <c r="C5" s="90" t="s">
        <v>118</v>
      </c>
      <c r="D5" s="91">
        <v>250</v>
      </c>
      <c r="E5" s="92">
        <v>83</v>
      </c>
      <c r="F5" s="92">
        <f t="shared" si="0"/>
        <v>16.600000000000001</v>
      </c>
      <c r="G5" s="92">
        <f t="shared" si="1"/>
        <v>20750</v>
      </c>
      <c r="H5" s="93">
        <v>42616</v>
      </c>
      <c r="K5" s="13"/>
    </row>
    <row r="6" spans="2:11" x14ac:dyDescent="0.35">
      <c r="B6" s="89" t="s">
        <v>119</v>
      </c>
      <c r="C6" s="90" t="s">
        <v>120</v>
      </c>
      <c r="D6" s="91">
        <v>127</v>
      </c>
      <c r="E6" s="92">
        <v>85</v>
      </c>
      <c r="F6" s="92">
        <f t="shared" si="0"/>
        <v>17</v>
      </c>
      <c r="G6" s="92">
        <f t="shared" si="1"/>
        <v>10795</v>
      </c>
      <c r="H6" s="93">
        <v>42585</v>
      </c>
      <c r="K6" s="13"/>
    </row>
    <row r="7" spans="2:11" x14ac:dyDescent="0.35">
      <c r="B7" s="89" t="s">
        <v>121</v>
      </c>
      <c r="C7" s="90" t="s">
        <v>122</v>
      </c>
      <c r="D7" s="91">
        <v>225</v>
      </c>
      <c r="E7" s="92">
        <v>69</v>
      </c>
      <c r="F7" s="92">
        <f t="shared" si="0"/>
        <v>13.8</v>
      </c>
      <c r="G7" s="92">
        <f t="shared" si="1"/>
        <v>15525</v>
      </c>
      <c r="H7" s="93">
        <v>42582</v>
      </c>
      <c r="K7" s="13"/>
    </row>
    <row r="8" spans="2:11" x14ac:dyDescent="0.35">
      <c r="B8" s="89" t="s">
        <v>123</v>
      </c>
      <c r="C8" s="90" t="s">
        <v>124</v>
      </c>
      <c r="D8" s="91">
        <v>267</v>
      </c>
      <c r="E8" s="92">
        <v>50</v>
      </c>
      <c r="F8" s="92">
        <f t="shared" si="0"/>
        <v>10</v>
      </c>
      <c r="G8" s="92">
        <f t="shared" si="1"/>
        <v>13350</v>
      </c>
      <c r="H8" s="93">
        <v>42524</v>
      </c>
    </row>
    <row r="9" spans="2:11" x14ac:dyDescent="0.35">
      <c r="B9" s="89" t="s">
        <v>125</v>
      </c>
      <c r="C9" s="90" t="s">
        <v>126</v>
      </c>
      <c r="D9" s="91">
        <v>278</v>
      </c>
      <c r="E9" s="92">
        <v>36</v>
      </c>
      <c r="F9" s="92">
        <f t="shared" si="0"/>
        <v>7.2</v>
      </c>
      <c r="G9" s="92">
        <f t="shared" si="1"/>
        <v>10008</v>
      </c>
      <c r="H9" s="93">
        <v>42565</v>
      </c>
    </row>
    <row r="10" spans="2:11" x14ac:dyDescent="0.35">
      <c r="B10" s="89" t="s">
        <v>127</v>
      </c>
      <c r="C10" s="90" t="s">
        <v>128</v>
      </c>
      <c r="D10" s="91">
        <v>159</v>
      </c>
      <c r="E10" s="92">
        <v>52</v>
      </c>
      <c r="F10" s="92">
        <f t="shared" si="0"/>
        <v>10.4</v>
      </c>
      <c r="G10" s="92">
        <f t="shared" si="1"/>
        <v>8268</v>
      </c>
      <c r="H10" s="93">
        <v>42596</v>
      </c>
    </row>
    <row r="11" spans="2:11" x14ac:dyDescent="0.35">
      <c r="B11" s="89" t="s">
        <v>129</v>
      </c>
      <c r="C11" s="90" t="s">
        <v>130</v>
      </c>
      <c r="D11" s="91">
        <v>280</v>
      </c>
      <c r="E11" s="92">
        <v>50</v>
      </c>
      <c r="F11" s="92">
        <f t="shared" si="0"/>
        <v>10</v>
      </c>
      <c r="G11" s="92">
        <f t="shared" si="1"/>
        <v>14000</v>
      </c>
      <c r="H11" s="93">
        <v>42580</v>
      </c>
    </row>
    <row r="12" spans="2:11" x14ac:dyDescent="0.35">
      <c r="B12" s="89" t="s">
        <v>131</v>
      </c>
      <c r="C12" s="90" t="s">
        <v>132</v>
      </c>
      <c r="D12" s="91">
        <v>203</v>
      </c>
      <c r="E12" s="92">
        <v>97</v>
      </c>
      <c r="F12" s="92">
        <f t="shared" si="0"/>
        <v>19.400000000000002</v>
      </c>
      <c r="G12" s="92">
        <f t="shared" si="1"/>
        <v>19691</v>
      </c>
      <c r="H12" s="93">
        <v>42594</v>
      </c>
    </row>
    <row r="13" spans="2:11" x14ac:dyDescent="0.35">
      <c r="B13" s="89" t="s">
        <v>133</v>
      </c>
      <c r="C13" s="90" t="s">
        <v>134</v>
      </c>
      <c r="D13" s="91">
        <v>287</v>
      </c>
      <c r="E13" s="92">
        <v>82</v>
      </c>
      <c r="F13" s="92">
        <f t="shared" si="0"/>
        <v>16.400000000000002</v>
      </c>
      <c r="G13" s="92">
        <f t="shared" si="1"/>
        <v>23534</v>
      </c>
      <c r="H13" s="93">
        <v>42579</v>
      </c>
    </row>
    <row r="14" spans="2:11" x14ac:dyDescent="0.35">
      <c r="B14" s="89" t="s">
        <v>135</v>
      </c>
      <c r="C14" s="90" t="s">
        <v>136</v>
      </c>
      <c r="D14" s="91">
        <v>153</v>
      </c>
      <c r="E14" s="92">
        <v>68</v>
      </c>
      <c r="F14" s="92">
        <f t="shared" si="0"/>
        <v>13.600000000000001</v>
      </c>
      <c r="G14" s="92">
        <f t="shared" si="1"/>
        <v>10404</v>
      </c>
      <c r="H14" s="93">
        <v>42523</v>
      </c>
    </row>
    <row r="15" spans="2:11" x14ac:dyDescent="0.35">
      <c r="B15" s="89" t="s">
        <v>137</v>
      </c>
      <c r="C15" s="90" t="s">
        <v>138</v>
      </c>
      <c r="D15" s="91">
        <v>282</v>
      </c>
      <c r="E15" s="92">
        <v>36</v>
      </c>
      <c r="F15" s="92">
        <f t="shared" si="0"/>
        <v>7.2</v>
      </c>
      <c r="G15" s="92">
        <f t="shared" si="1"/>
        <v>10152</v>
      </c>
      <c r="H15" s="93">
        <v>42582</v>
      </c>
    </row>
    <row r="16" spans="2:11" x14ac:dyDescent="0.35">
      <c r="B16" s="89" t="s">
        <v>139</v>
      </c>
      <c r="C16" s="90" t="s">
        <v>140</v>
      </c>
      <c r="D16" s="91">
        <v>110</v>
      </c>
      <c r="E16" s="92">
        <v>44</v>
      </c>
      <c r="F16" s="92">
        <f t="shared" si="0"/>
        <v>8.8000000000000007</v>
      </c>
      <c r="G16" s="92">
        <f t="shared" si="1"/>
        <v>4840</v>
      </c>
      <c r="H16" s="93">
        <v>42603</v>
      </c>
    </row>
    <row r="17" spans="2:8" x14ac:dyDescent="0.35">
      <c r="B17" s="89" t="s">
        <v>141</v>
      </c>
      <c r="C17" s="90" t="s">
        <v>142</v>
      </c>
      <c r="D17" s="91">
        <v>102</v>
      </c>
      <c r="E17" s="92">
        <v>45</v>
      </c>
      <c r="F17" s="92">
        <f t="shared" si="0"/>
        <v>9</v>
      </c>
      <c r="G17" s="92">
        <f t="shared" si="1"/>
        <v>4590</v>
      </c>
      <c r="H17" s="93">
        <v>42518</v>
      </c>
    </row>
    <row r="18" spans="2:8" x14ac:dyDescent="0.35">
      <c r="B18" s="89" t="s">
        <v>143</v>
      </c>
      <c r="C18" s="90" t="s">
        <v>144</v>
      </c>
      <c r="D18" s="91">
        <v>194</v>
      </c>
      <c r="E18" s="92">
        <v>60</v>
      </c>
      <c r="F18" s="92">
        <f t="shared" si="0"/>
        <v>12</v>
      </c>
      <c r="G18" s="92">
        <f t="shared" si="1"/>
        <v>11640</v>
      </c>
      <c r="H18" s="93">
        <v>42532</v>
      </c>
    </row>
    <row r="19" spans="2:8" x14ac:dyDescent="0.35">
      <c r="B19" s="89" t="s">
        <v>145</v>
      </c>
      <c r="C19" s="90" t="s">
        <v>146</v>
      </c>
      <c r="D19" s="91">
        <v>200</v>
      </c>
      <c r="E19" s="92">
        <v>84</v>
      </c>
      <c r="F19" s="92">
        <f t="shared" si="0"/>
        <v>16.8</v>
      </c>
      <c r="G19" s="92">
        <f t="shared" si="1"/>
        <v>16800</v>
      </c>
      <c r="H19" s="93">
        <v>42542</v>
      </c>
    </row>
    <row r="20" spans="2:8" x14ac:dyDescent="0.35">
      <c r="B20" s="89" t="s">
        <v>147</v>
      </c>
      <c r="C20" s="90" t="s">
        <v>148</v>
      </c>
      <c r="D20" s="91">
        <v>142</v>
      </c>
      <c r="E20" s="92">
        <v>69</v>
      </c>
      <c r="F20" s="92">
        <f t="shared" si="0"/>
        <v>13.8</v>
      </c>
      <c r="G20" s="92">
        <f t="shared" si="1"/>
        <v>9798</v>
      </c>
      <c r="H20" s="93">
        <v>42608</v>
      </c>
    </row>
    <row r="21" spans="2:8" x14ac:dyDescent="0.35">
      <c r="B21" s="89" t="s">
        <v>149</v>
      </c>
      <c r="C21" s="90" t="s">
        <v>150</v>
      </c>
      <c r="D21" s="91">
        <v>161</v>
      </c>
      <c r="E21" s="92">
        <v>89</v>
      </c>
      <c r="F21" s="92">
        <f t="shared" si="0"/>
        <v>17.8</v>
      </c>
      <c r="G21" s="92">
        <f t="shared" si="1"/>
        <v>14329</v>
      </c>
      <c r="H21" s="93">
        <v>42585</v>
      </c>
    </row>
    <row r="22" spans="2:8" x14ac:dyDescent="0.35">
      <c r="B22" s="89" t="s">
        <v>151</v>
      </c>
      <c r="C22" s="90" t="s">
        <v>152</v>
      </c>
      <c r="D22" s="91">
        <v>245</v>
      </c>
      <c r="E22" s="92">
        <v>43</v>
      </c>
      <c r="F22" s="92">
        <f t="shared" si="0"/>
        <v>8.6</v>
      </c>
      <c r="G22" s="92">
        <f t="shared" si="1"/>
        <v>10535</v>
      </c>
      <c r="H22" s="93">
        <v>42573</v>
      </c>
    </row>
    <row r="23" spans="2:8" x14ac:dyDescent="0.35">
      <c r="B23" s="89" t="s">
        <v>153</v>
      </c>
      <c r="C23" s="90" t="s">
        <v>154</v>
      </c>
      <c r="D23" s="91">
        <v>192</v>
      </c>
      <c r="E23" s="92">
        <v>23</v>
      </c>
      <c r="F23" s="92">
        <f t="shared" si="0"/>
        <v>4.6000000000000005</v>
      </c>
      <c r="G23" s="92">
        <f t="shared" si="1"/>
        <v>4416</v>
      </c>
      <c r="H23" s="93">
        <v>42593</v>
      </c>
    </row>
    <row r="24" spans="2:8" x14ac:dyDescent="0.35">
      <c r="B24" s="89" t="s">
        <v>155</v>
      </c>
      <c r="C24" s="90" t="s">
        <v>156</v>
      </c>
      <c r="D24" s="91">
        <v>201</v>
      </c>
      <c r="E24" s="92">
        <v>48</v>
      </c>
      <c r="F24" s="92">
        <f t="shared" si="0"/>
        <v>9.6000000000000014</v>
      </c>
      <c r="G24" s="92">
        <f t="shared" si="1"/>
        <v>9648</v>
      </c>
      <c r="H24" s="93">
        <v>42602</v>
      </c>
    </row>
    <row r="26" spans="2:8" x14ac:dyDescent="0.35">
      <c r="F26" s="94"/>
    </row>
    <row r="27" spans="2:8" x14ac:dyDescent="0.35">
      <c r="F27" s="94"/>
    </row>
  </sheetData>
  <conditionalFormatting sqref="D2:D24">
    <cfRule type="cellIs" dxfId="12" priority="7" operator="greaterThan">
      <formula>200</formula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{CB4EBC75-833F-4D8F-A8E0-F9C39160AB35}</x14:id>
        </ext>
      </extLst>
    </cfRule>
  </conditionalFormatting>
  <conditionalFormatting sqref="C2:C24">
    <cfRule type="containsText" dxfId="11" priority="6" operator="containsText" text=" M type">
      <formula>NOT(ISERROR(SEARCH(" M type",C2)))</formula>
    </cfRule>
  </conditionalFormatting>
  <conditionalFormatting sqref="G2:G24">
    <cfRule type="top10" dxfId="10" priority="5" rank="3"/>
  </conditionalFormatting>
  <conditionalFormatting sqref="E2:E24">
    <cfRule type="colorScale" priority="3">
      <colorScale>
        <cfvo type="min"/>
        <cfvo type="max"/>
        <color rgb="FFFCFCFF"/>
        <color rgb="FF63BE7B"/>
      </colorScale>
    </cfRule>
  </conditionalFormatting>
  <conditionalFormatting sqref="F2:F24">
    <cfRule type="iconSet" priority="2">
      <iconSet iconSet="3Arrows">
        <cfvo type="percent" val="0"/>
        <cfvo type="percent" val="33"/>
        <cfvo type="percent" val="67"/>
      </iconSet>
    </cfRule>
  </conditionalFormatting>
  <conditionalFormatting sqref="H2:H24">
    <cfRule type="cellIs" dxfId="9" priority="1" operator="greaterThan">
      <formula>$J$2+15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B4EBC75-833F-4D8F-A8E0-F9C39160AB3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D2:D24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5"/>
  <dimension ref="B14:H24"/>
  <sheetViews>
    <sheetView tabSelected="1" topLeftCell="A11" workbookViewId="0">
      <selection activeCell="H15" sqref="H15"/>
    </sheetView>
  </sheetViews>
  <sheetFormatPr defaultRowHeight="14.5" x14ac:dyDescent="0.35"/>
  <cols>
    <col min="2" max="2" width="20.453125" customWidth="1"/>
  </cols>
  <sheetData>
    <row r="14" spans="2:7" x14ac:dyDescent="0.35">
      <c r="C14" s="97" t="s">
        <v>158</v>
      </c>
      <c r="D14" s="101" t="s">
        <v>159</v>
      </c>
      <c r="E14" s="97" t="s">
        <v>160</v>
      </c>
      <c r="F14" s="97" t="s">
        <v>161</v>
      </c>
    </row>
    <row r="15" spans="2:7" x14ac:dyDescent="0.35">
      <c r="B15" s="1" t="s">
        <v>166</v>
      </c>
      <c r="C15" s="99">
        <v>22.999999999999993</v>
      </c>
      <c r="D15" s="100">
        <v>15.000000000000009</v>
      </c>
      <c r="E15" s="98">
        <v>39</v>
      </c>
      <c r="F15" s="6">
        <v>0</v>
      </c>
      <c r="G15" s="1" t="s">
        <v>168</v>
      </c>
    </row>
    <row r="16" spans="2:7" x14ac:dyDescent="0.35">
      <c r="B16" s="1" t="s">
        <v>167</v>
      </c>
      <c r="C16">
        <v>450</v>
      </c>
      <c r="D16">
        <v>1150</v>
      </c>
      <c r="E16">
        <v>800</v>
      </c>
      <c r="F16">
        <v>400</v>
      </c>
      <c r="G16">
        <f>C16*C15+D16*D15+E16*E15+F16*F15</f>
        <v>58800.000000000007</v>
      </c>
    </row>
    <row r="18" spans="2:8" ht="15" thickBot="1" x14ac:dyDescent="0.4"/>
    <row r="19" spans="2:8" ht="15" thickBot="1" x14ac:dyDescent="0.4">
      <c r="B19" s="134" t="s">
        <v>157</v>
      </c>
      <c r="C19" s="135"/>
      <c r="D19" s="135"/>
      <c r="E19" s="136"/>
      <c r="F19" s="104"/>
    </row>
    <row r="20" spans="2:8" x14ac:dyDescent="0.35">
      <c r="B20" s="102"/>
      <c r="C20" s="103" t="s">
        <v>158</v>
      </c>
      <c r="D20" s="103" t="s">
        <v>159</v>
      </c>
      <c r="E20" s="103" t="s">
        <v>160</v>
      </c>
      <c r="F20" s="105" t="s">
        <v>161</v>
      </c>
      <c r="G20" s="107" t="s">
        <v>169</v>
      </c>
      <c r="H20" s="107" t="s">
        <v>170</v>
      </c>
    </row>
    <row r="21" spans="2:8" x14ac:dyDescent="0.35">
      <c r="B21" s="95" t="s">
        <v>162</v>
      </c>
      <c r="C21" s="96">
        <v>50</v>
      </c>
      <c r="D21" s="96">
        <v>50</v>
      </c>
      <c r="E21" s="96">
        <v>100</v>
      </c>
      <c r="F21" s="106">
        <v>50</v>
      </c>
      <c r="G21" s="108">
        <f>SUMPRODUCT(C21:F21,$C$15:$F$15)</f>
        <v>5800</v>
      </c>
      <c r="H21" s="107">
        <v>5800</v>
      </c>
    </row>
    <row r="22" spans="2:8" x14ac:dyDescent="0.35">
      <c r="B22" s="95" t="s">
        <v>163</v>
      </c>
      <c r="C22" s="96">
        <v>5</v>
      </c>
      <c r="D22" s="96">
        <v>15</v>
      </c>
      <c r="E22" s="96">
        <v>10</v>
      </c>
      <c r="F22" s="106">
        <v>5</v>
      </c>
      <c r="G22" s="108">
        <f t="shared" ref="G22:G24" si="0">SUMPRODUCT(C22:F22,$C$15:$F$15)</f>
        <v>730.00000000000011</v>
      </c>
      <c r="H22" s="107">
        <v>730</v>
      </c>
    </row>
    <row r="23" spans="2:8" x14ac:dyDescent="0.35">
      <c r="B23" s="95" t="s">
        <v>164</v>
      </c>
      <c r="C23" s="96">
        <v>500</v>
      </c>
      <c r="D23" s="96">
        <v>400</v>
      </c>
      <c r="E23" s="96">
        <v>300</v>
      </c>
      <c r="F23" s="106">
        <v>200</v>
      </c>
      <c r="G23" s="108">
        <f t="shared" si="0"/>
        <v>29200</v>
      </c>
      <c r="H23" s="107">
        <v>29200</v>
      </c>
    </row>
    <row r="24" spans="2:8" x14ac:dyDescent="0.35">
      <c r="B24" s="95" t="s">
        <v>165</v>
      </c>
      <c r="C24" s="96">
        <v>500</v>
      </c>
      <c r="D24" s="96">
        <v>750</v>
      </c>
      <c r="E24" s="96">
        <v>250</v>
      </c>
      <c r="F24" s="106">
        <v>500</v>
      </c>
      <c r="G24" s="108">
        <f t="shared" si="0"/>
        <v>32500.000000000004</v>
      </c>
      <c r="H24" s="107">
        <v>60500</v>
      </c>
    </row>
  </sheetData>
  <mergeCells count="1">
    <mergeCell ref="B19:E1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6" filterMode="1"/>
  <dimension ref="A1:K27"/>
  <sheetViews>
    <sheetView workbookViewId="0">
      <selection activeCell="G24" sqref="G24"/>
    </sheetView>
  </sheetViews>
  <sheetFormatPr defaultRowHeight="14.5" x14ac:dyDescent="0.35"/>
  <cols>
    <col min="1" max="1" width="5.08984375" customWidth="1"/>
    <col min="2" max="2" width="26.08984375" customWidth="1"/>
    <col min="3" max="3" width="7.36328125" bestFit="1" customWidth="1"/>
    <col min="4" max="4" width="9.54296875" customWidth="1"/>
    <col min="5" max="5" width="14.90625" customWidth="1"/>
    <col min="6" max="6" width="7.90625" customWidth="1"/>
    <col min="7" max="7" width="10.90625" customWidth="1"/>
    <col min="8" max="8" width="16.54296875" customWidth="1"/>
    <col min="9" max="9" width="13.453125" customWidth="1"/>
    <col min="10" max="10" width="14.36328125" customWidth="1"/>
    <col min="11" max="11" width="12.1796875" bestFit="1" customWidth="1"/>
  </cols>
  <sheetData>
    <row r="1" spans="1:11" x14ac:dyDescent="0.35">
      <c r="A1" t="s">
        <v>171</v>
      </c>
      <c r="B1" t="s">
        <v>172</v>
      </c>
      <c r="C1" t="s">
        <v>0</v>
      </c>
      <c r="D1" t="s">
        <v>173</v>
      </c>
      <c r="E1" t="s">
        <v>174</v>
      </c>
      <c r="F1" t="s">
        <v>175</v>
      </c>
      <c r="G1" t="s">
        <v>106</v>
      </c>
      <c r="H1" t="s">
        <v>176</v>
      </c>
      <c r="I1" t="s">
        <v>177</v>
      </c>
      <c r="J1" t="s">
        <v>178</v>
      </c>
      <c r="K1" t="s">
        <v>179</v>
      </c>
    </row>
    <row r="2" spans="1:11" hidden="1" x14ac:dyDescent="0.35">
      <c r="A2">
        <v>1</v>
      </c>
      <c r="B2" t="s">
        <v>180</v>
      </c>
      <c r="C2">
        <v>2014</v>
      </c>
      <c r="D2" s="56">
        <v>4</v>
      </c>
      <c r="E2" s="109">
        <v>41974</v>
      </c>
      <c r="F2" s="110">
        <v>3.75</v>
      </c>
      <c r="G2" s="56">
        <v>1500</v>
      </c>
      <c r="H2" s="110">
        <f>Table24[[#This Row],[Price]]*Table24[[#This Row],[Quantity]]</f>
        <v>5625</v>
      </c>
      <c r="I2" t="s">
        <v>181</v>
      </c>
      <c r="J2">
        <v>2456</v>
      </c>
      <c r="K2" s="110">
        <v>300</v>
      </c>
    </row>
    <row r="3" spans="1:11" x14ac:dyDescent="0.35">
      <c r="A3">
        <v>2</v>
      </c>
      <c r="B3" t="s">
        <v>182</v>
      </c>
      <c r="C3">
        <v>2014</v>
      </c>
      <c r="D3" s="56">
        <v>2</v>
      </c>
      <c r="E3" s="109">
        <v>41815</v>
      </c>
      <c r="F3" s="110">
        <v>0.5</v>
      </c>
      <c r="G3" s="56">
        <v>4000</v>
      </c>
      <c r="H3" s="110">
        <f>Table24[[#This Row],[Price]]*Table24[[#This Row],[Quantity]]</f>
        <v>2000</v>
      </c>
      <c r="I3" t="s">
        <v>183</v>
      </c>
      <c r="J3">
        <v>21547</v>
      </c>
      <c r="K3" s="110">
        <v>2000</v>
      </c>
    </row>
    <row r="4" spans="1:11" x14ac:dyDescent="0.35">
      <c r="A4">
        <v>3</v>
      </c>
      <c r="B4" t="s">
        <v>184</v>
      </c>
      <c r="C4">
        <v>2015</v>
      </c>
      <c r="D4" s="56">
        <v>3</v>
      </c>
      <c r="E4" s="109">
        <v>42255</v>
      </c>
      <c r="F4" s="110">
        <v>0.5</v>
      </c>
      <c r="G4" s="56">
        <v>4000</v>
      </c>
      <c r="H4" s="110">
        <f>Table24[[#This Row],[Price]]*Table24[[#This Row],[Quantity]]</f>
        <v>2000</v>
      </c>
      <c r="I4" t="s">
        <v>185</v>
      </c>
      <c r="J4">
        <v>546780</v>
      </c>
      <c r="K4" s="110">
        <v>1000</v>
      </c>
    </row>
    <row r="5" spans="1:11" x14ac:dyDescent="0.35">
      <c r="A5">
        <v>4</v>
      </c>
      <c r="B5" t="s">
        <v>186</v>
      </c>
      <c r="C5">
        <v>2015</v>
      </c>
      <c r="D5" s="56">
        <v>3</v>
      </c>
      <c r="E5" s="109">
        <v>42196</v>
      </c>
      <c r="F5" s="110">
        <v>1.25</v>
      </c>
      <c r="G5" s="56">
        <v>540</v>
      </c>
      <c r="H5" s="110">
        <f>Table24[[#This Row],[Price]]*Table24[[#This Row],[Quantity]]</f>
        <v>675</v>
      </c>
      <c r="I5" t="s">
        <v>187</v>
      </c>
      <c r="J5">
        <v>532140</v>
      </c>
      <c r="K5" s="110">
        <v>500</v>
      </c>
    </row>
    <row r="6" spans="1:11" x14ac:dyDescent="0.35">
      <c r="A6">
        <v>5</v>
      </c>
      <c r="B6" t="s">
        <v>188</v>
      </c>
      <c r="C6">
        <v>2015</v>
      </c>
      <c r="D6" s="56">
        <v>2</v>
      </c>
      <c r="E6" s="109">
        <v>42178</v>
      </c>
      <c r="F6" s="110">
        <v>1.25</v>
      </c>
      <c r="G6" s="56">
        <v>1450</v>
      </c>
      <c r="H6" s="110">
        <f>Table24[[#This Row],[Price]]*Table24[[#This Row],[Quantity]]</f>
        <v>1812.5</v>
      </c>
      <c r="I6" t="s">
        <v>187</v>
      </c>
      <c r="J6">
        <v>530124</v>
      </c>
      <c r="K6" s="110">
        <v>1300</v>
      </c>
    </row>
    <row r="7" spans="1:11" hidden="1" x14ac:dyDescent="0.35">
      <c r="A7">
        <v>6</v>
      </c>
      <c r="B7" t="s">
        <v>189</v>
      </c>
      <c r="C7">
        <v>2015</v>
      </c>
      <c r="D7" s="56">
        <v>4</v>
      </c>
      <c r="E7" s="109">
        <v>42356</v>
      </c>
      <c r="F7" s="110">
        <v>2.5</v>
      </c>
      <c r="G7" s="56">
        <v>600</v>
      </c>
      <c r="H7" s="110">
        <f>Table24[[#This Row],[Price]]*Table24[[#This Row],[Quantity]]</f>
        <v>1500</v>
      </c>
      <c r="I7" t="s">
        <v>185</v>
      </c>
      <c r="J7">
        <v>621450</v>
      </c>
      <c r="K7" s="110">
        <v>875</v>
      </c>
    </row>
    <row r="8" spans="1:11" x14ac:dyDescent="0.35">
      <c r="A8">
        <v>7</v>
      </c>
      <c r="B8" t="s">
        <v>190</v>
      </c>
      <c r="C8">
        <v>2014</v>
      </c>
      <c r="D8" s="56">
        <v>4</v>
      </c>
      <c r="E8" s="109">
        <v>41916</v>
      </c>
      <c r="F8" s="110">
        <v>0.75</v>
      </c>
      <c r="G8" s="56">
        <v>230</v>
      </c>
      <c r="H8" s="110">
        <f>Table24[[#This Row],[Price]]*Table24[[#This Row],[Quantity]]</f>
        <v>172.5</v>
      </c>
      <c r="I8" t="s">
        <v>191</v>
      </c>
      <c r="J8">
        <v>22450</v>
      </c>
      <c r="K8" s="110">
        <v>125</v>
      </c>
    </row>
    <row r="9" spans="1:11" x14ac:dyDescent="0.35">
      <c r="A9">
        <v>8</v>
      </c>
      <c r="B9" t="s">
        <v>192</v>
      </c>
      <c r="C9">
        <v>2015</v>
      </c>
      <c r="D9" s="56">
        <v>4</v>
      </c>
      <c r="E9" s="109">
        <v>42325</v>
      </c>
      <c r="F9" s="110">
        <v>0.875</v>
      </c>
      <c r="G9" s="56">
        <v>580</v>
      </c>
      <c r="H9" s="110">
        <f>Table24[[#This Row],[Price]]*Table24[[#This Row],[Quantity]]</f>
        <v>507.5</v>
      </c>
      <c r="I9" t="s">
        <v>183</v>
      </c>
      <c r="J9">
        <v>234456</v>
      </c>
      <c r="K9" s="110">
        <v>587.5</v>
      </c>
    </row>
    <row r="10" spans="1:11" x14ac:dyDescent="0.35">
      <c r="A10">
        <v>9</v>
      </c>
      <c r="B10" t="s">
        <v>193</v>
      </c>
      <c r="C10">
        <v>2015</v>
      </c>
      <c r="D10" s="56">
        <v>4</v>
      </c>
      <c r="E10" s="109">
        <v>42346</v>
      </c>
      <c r="F10" s="110">
        <v>0.625</v>
      </c>
      <c r="G10" s="56">
        <v>453</v>
      </c>
      <c r="H10" s="110">
        <f>Table24[[#This Row],[Price]]*Table24[[#This Row],[Quantity]]</f>
        <v>283.125</v>
      </c>
      <c r="I10" t="s">
        <v>183</v>
      </c>
      <c r="J10">
        <v>322156</v>
      </c>
      <c r="K10" s="110">
        <v>230</v>
      </c>
    </row>
    <row r="11" spans="1:11" x14ac:dyDescent="0.35">
      <c r="A11">
        <v>10</v>
      </c>
      <c r="B11" t="s">
        <v>194</v>
      </c>
      <c r="C11">
        <v>2015</v>
      </c>
      <c r="D11" s="56">
        <v>4</v>
      </c>
      <c r="E11" s="109">
        <v>42314</v>
      </c>
      <c r="F11" s="110">
        <v>0.25</v>
      </c>
      <c r="G11" s="56">
        <v>800</v>
      </c>
      <c r="H11" s="110">
        <f>Table24[[#This Row],[Price]]*Table24[[#This Row],[Quantity]]</f>
        <v>200</v>
      </c>
      <c r="I11" t="s">
        <v>185</v>
      </c>
      <c r="J11">
        <v>34458</v>
      </c>
      <c r="K11" s="110">
        <v>35</v>
      </c>
    </row>
    <row r="12" spans="1:11" hidden="1" x14ac:dyDescent="0.35">
      <c r="A12">
        <v>11</v>
      </c>
      <c r="B12" t="s">
        <v>195</v>
      </c>
      <c r="C12">
        <v>2015</v>
      </c>
      <c r="D12" s="56">
        <v>4</v>
      </c>
      <c r="E12" s="109">
        <v>42302</v>
      </c>
      <c r="F12" s="110">
        <v>5</v>
      </c>
      <c r="G12" s="56">
        <v>9000</v>
      </c>
      <c r="H12" s="110">
        <f>Table24[[#This Row],[Price]]*Table24[[#This Row],[Quantity]]</f>
        <v>45000</v>
      </c>
      <c r="I12" t="s">
        <v>181</v>
      </c>
      <c r="J12">
        <v>215889</v>
      </c>
      <c r="K12" s="110">
        <v>37500</v>
      </c>
    </row>
    <row r="13" spans="1:11" x14ac:dyDescent="0.35">
      <c r="A13">
        <v>12</v>
      </c>
      <c r="B13" t="s">
        <v>196</v>
      </c>
      <c r="C13">
        <v>2015</v>
      </c>
      <c r="D13" s="56">
        <v>3</v>
      </c>
      <c r="E13" s="109">
        <v>42236</v>
      </c>
      <c r="F13" s="110">
        <v>5.25</v>
      </c>
      <c r="G13" s="56">
        <v>200</v>
      </c>
      <c r="H13" s="110">
        <f>Table24[[#This Row],[Price]]*Table24[[#This Row],[Quantity]]</f>
        <v>1050</v>
      </c>
      <c r="I13" t="s">
        <v>181</v>
      </c>
      <c r="J13">
        <v>244569</v>
      </c>
      <c r="K13" s="110">
        <v>575</v>
      </c>
    </row>
    <row r="14" spans="1:11" hidden="1" x14ac:dyDescent="0.35">
      <c r="A14">
        <v>13</v>
      </c>
      <c r="B14" t="s">
        <v>197</v>
      </c>
      <c r="C14">
        <v>2014</v>
      </c>
      <c r="D14" s="56">
        <v>3</v>
      </c>
      <c r="E14" s="109">
        <v>41905</v>
      </c>
      <c r="F14" s="110">
        <v>5.375</v>
      </c>
      <c r="G14" s="56">
        <v>1400</v>
      </c>
      <c r="H14" s="110">
        <f>Table24[[#This Row],[Price]]*Table24[[#This Row],[Quantity]]</f>
        <v>7525</v>
      </c>
      <c r="I14" t="s">
        <v>187</v>
      </c>
      <c r="J14">
        <v>265447</v>
      </c>
      <c r="K14" s="110">
        <v>3750</v>
      </c>
    </row>
    <row r="15" spans="1:11" hidden="1" x14ac:dyDescent="0.35">
      <c r="A15">
        <v>14</v>
      </c>
      <c r="B15" t="s">
        <v>198</v>
      </c>
      <c r="C15">
        <v>2014</v>
      </c>
      <c r="D15" s="56">
        <v>3</v>
      </c>
      <c r="E15" s="109">
        <v>41856</v>
      </c>
      <c r="F15" s="110">
        <v>5.5</v>
      </c>
      <c r="G15" s="56">
        <v>350</v>
      </c>
      <c r="H15" s="110">
        <f>Table24[[#This Row],[Price]]*Table24[[#This Row],[Quantity]]</f>
        <v>1925</v>
      </c>
      <c r="I15" t="s">
        <v>185</v>
      </c>
      <c r="J15">
        <v>45569</v>
      </c>
      <c r="K15" s="110">
        <v>1300</v>
      </c>
    </row>
    <row r="16" spans="1:11" x14ac:dyDescent="0.35">
      <c r="A16">
        <v>15</v>
      </c>
      <c r="B16" t="s">
        <v>199</v>
      </c>
      <c r="C16">
        <v>2014</v>
      </c>
      <c r="D16" s="56">
        <v>3</v>
      </c>
      <c r="E16" s="109">
        <v>41877</v>
      </c>
      <c r="F16" s="110">
        <v>0.42499999999999999</v>
      </c>
      <c r="G16" s="56">
        <v>600</v>
      </c>
      <c r="H16" s="110">
        <f>Table24[[#This Row],[Price]]*Table24[[#This Row],[Quantity]]</f>
        <v>255</v>
      </c>
      <c r="I16" t="s">
        <v>185</v>
      </c>
      <c r="J16">
        <v>3325554</v>
      </c>
      <c r="K16" s="110">
        <v>155</v>
      </c>
    </row>
    <row r="17" spans="1:11" x14ac:dyDescent="0.35">
      <c r="A17">
        <v>16</v>
      </c>
      <c r="B17" t="s">
        <v>200</v>
      </c>
      <c r="C17">
        <v>2015</v>
      </c>
      <c r="D17" s="56">
        <v>4</v>
      </c>
      <c r="E17" s="109">
        <v>42296</v>
      </c>
      <c r="F17" s="110">
        <v>2</v>
      </c>
      <c r="G17" s="56">
        <v>840</v>
      </c>
      <c r="H17" s="110">
        <f>Table24[[#This Row],[Price]]*Table24[[#This Row],[Quantity]]</f>
        <v>1680</v>
      </c>
      <c r="I17" t="s">
        <v>183</v>
      </c>
      <c r="J17">
        <v>24489</v>
      </c>
      <c r="K17" s="110">
        <v>587.5</v>
      </c>
    </row>
    <row r="18" spans="1:11" hidden="1" x14ac:dyDescent="0.35">
      <c r="A18">
        <v>17</v>
      </c>
      <c r="B18" t="s">
        <v>201</v>
      </c>
      <c r="C18">
        <v>2015</v>
      </c>
      <c r="D18" s="56">
        <v>2</v>
      </c>
      <c r="E18" s="109">
        <v>42131</v>
      </c>
      <c r="F18" s="110">
        <v>7</v>
      </c>
      <c r="G18" s="56">
        <v>230</v>
      </c>
      <c r="H18" s="110">
        <f>Table24[[#This Row],[Price]]*Table24[[#This Row],[Quantity]]</f>
        <v>1610</v>
      </c>
      <c r="I18" t="s">
        <v>183</v>
      </c>
      <c r="J18">
        <v>255630</v>
      </c>
      <c r="K18" s="110">
        <v>1500</v>
      </c>
    </row>
    <row r="19" spans="1:11" hidden="1" x14ac:dyDescent="0.35">
      <c r="A19">
        <v>18</v>
      </c>
      <c r="B19" t="s">
        <v>202</v>
      </c>
      <c r="C19">
        <v>2015</v>
      </c>
      <c r="D19" s="56">
        <v>4</v>
      </c>
      <c r="E19" s="109">
        <v>42338</v>
      </c>
      <c r="F19" s="110">
        <v>8.75</v>
      </c>
      <c r="G19" s="56">
        <v>210</v>
      </c>
      <c r="H19" s="110">
        <f>Table24[[#This Row],[Price]]*Table24[[#This Row],[Quantity]]</f>
        <v>1837.5</v>
      </c>
      <c r="I19" t="s">
        <v>187</v>
      </c>
      <c r="J19">
        <v>452130</v>
      </c>
      <c r="K19" s="110">
        <v>1140</v>
      </c>
    </row>
    <row r="22" spans="1:11" x14ac:dyDescent="0.35">
      <c r="A22" s="111" t="s">
        <v>171</v>
      </c>
      <c r="B22" s="111" t="s">
        <v>172</v>
      </c>
      <c r="C22" s="111" t="s">
        <v>0</v>
      </c>
      <c r="D22" s="111" t="s">
        <v>173</v>
      </c>
      <c r="E22" s="111" t="s">
        <v>174</v>
      </c>
      <c r="F22" s="111" t="s">
        <v>175</v>
      </c>
      <c r="G22" s="111" t="s">
        <v>106</v>
      </c>
      <c r="H22" s="111" t="s">
        <v>176</v>
      </c>
      <c r="I22" s="111" t="s">
        <v>177</v>
      </c>
      <c r="J22" s="111" t="s">
        <v>178</v>
      </c>
      <c r="K22" s="111" t="s">
        <v>179</v>
      </c>
    </row>
    <row r="23" spans="1:11" x14ac:dyDescent="0.35">
      <c r="A23" s="112"/>
      <c r="B23" s="112" t="str">
        <f>"=Set of covers 6"</f>
        <v>=Set of covers 6</v>
      </c>
      <c r="C23" s="112"/>
      <c r="D23" s="112"/>
      <c r="E23" s="123"/>
      <c r="F23" s="112"/>
      <c r="G23" s="124"/>
      <c r="H23" s="112"/>
      <c r="I23" s="113"/>
      <c r="J23" s="112"/>
      <c r="K23" s="112"/>
    </row>
    <row r="24" spans="1:11" x14ac:dyDescent="0.35">
      <c r="A24" s="112"/>
      <c r="B24" s="112"/>
      <c r="C24" s="112"/>
      <c r="D24" s="112"/>
      <c r="E24" s="112"/>
      <c r="F24" s="112" t="s">
        <v>203</v>
      </c>
      <c r="G24" s="112"/>
      <c r="H24" s="112"/>
      <c r="I24" s="112"/>
      <c r="J24" s="112"/>
      <c r="K24" s="112"/>
    </row>
    <row r="25" spans="1:11" x14ac:dyDescent="0.35">
      <c r="A25" s="112"/>
      <c r="B25" s="112"/>
      <c r="C25" s="112"/>
      <c r="D25" s="112"/>
      <c r="E25" s="112"/>
      <c r="F25" s="112"/>
      <c r="G25" s="112"/>
      <c r="H25" s="112"/>
      <c r="I25" s="112"/>
      <c r="J25" s="112"/>
      <c r="K25" s="112"/>
    </row>
    <row r="26" spans="1:11" x14ac:dyDescent="0.35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</row>
    <row r="27" spans="1:11" x14ac:dyDescent="0.35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2DF7C-1C13-4A5E-889F-10A30A076A92}">
  <sheetPr codeName="Hárok7" filterMode="1"/>
  <dimension ref="A1:L27"/>
  <sheetViews>
    <sheetView workbookViewId="0">
      <selection activeCell="J30" sqref="J30"/>
    </sheetView>
  </sheetViews>
  <sheetFormatPr defaultRowHeight="14.5" x14ac:dyDescent="0.35"/>
  <cols>
    <col min="1" max="1" width="5.08984375" customWidth="1"/>
    <col min="2" max="2" width="26.08984375" customWidth="1"/>
    <col min="3" max="3" width="7.36328125" bestFit="1" customWidth="1"/>
    <col min="4" max="4" width="9.54296875" customWidth="1"/>
    <col min="5" max="5" width="14.90625" customWidth="1"/>
    <col min="6" max="6" width="7.90625" customWidth="1"/>
    <col min="7" max="7" width="10.90625" customWidth="1"/>
    <col min="8" max="8" width="16.54296875" customWidth="1"/>
    <col min="9" max="9" width="13.453125" customWidth="1"/>
    <col min="10" max="10" width="14.36328125" customWidth="1"/>
    <col min="11" max="11" width="12.1796875" bestFit="1" customWidth="1"/>
  </cols>
  <sheetData>
    <row r="1" spans="1:11" x14ac:dyDescent="0.35">
      <c r="A1" t="s">
        <v>171</v>
      </c>
      <c r="B1" t="s">
        <v>172</v>
      </c>
      <c r="C1" t="s">
        <v>0</v>
      </c>
      <c r="D1" t="s">
        <v>173</v>
      </c>
      <c r="E1" t="s">
        <v>174</v>
      </c>
      <c r="F1" t="s">
        <v>175</v>
      </c>
      <c r="G1" t="s">
        <v>106</v>
      </c>
      <c r="H1" t="s">
        <v>176</v>
      </c>
      <c r="I1" t="s">
        <v>177</v>
      </c>
      <c r="J1" t="s">
        <v>178</v>
      </c>
      <c r="K1" t="s">
        <v>179</v>
      </c>
    </row>
    <row r="2" spans="1:11" hidden="1" x14ac:dyDescent="0.35">
      <c r="A2">
        <v>1</v>
      </c>
      <c r="B2" t="s">
        <v>180</v>
      </c>
      <c r="C2">
        <v>2014</v>
      </c>
      <c r="D2" s="56">
        <v>4</v>
      </c>
      <c r="E2" s="109">
        <v>41974</v>
      </c>
      <c r="F2" s="110">
        <v>3.75</v>
      </c>
      <c r="G2" s="56">
        <v>1500</v>
      </c>
      <c r="H2" s="110">
        <f>Table243[[#This Row],[Price]]*Table243[[#This Row],[Quantity]]</f>
        <v>5625</v>
      </c>
      <c r="I2" t="s">
        <v>181</v>
      </c>
      <c r="J2">
        <v>2456</v>
      </c>
      <c r="K2" s="110">
        <v>300</v>
      </c>
    </row>
    <row r="3" spans="1:11" hidden="1" x14ac:dyDescent="0.35">
      <c r="A3">
        <v>2</v>
      </c>
      <c r="B3" t="s">
        <v>182</v>
      </c>
      <c r="C3">
        <v>2014</v>
      </c>
      <c r="D3" s="56">
        <v>2</v>
      </c>
      <c r="E3" s="109">
        <v>41815</v>
      </c>
      <c r="F3" s="110">
        <v>0.5</v>
      </c>
      <c r="G3" s="56">
        <v>4000</v>
      </c>
      <c r="H3" s="110">
        <f>Table243[[#This Row],[Price]]*Table243[[#This Row],[Quantity]]</f>
        <v>2000</v>
      </c>
      <c r="I3" t="s">
        <v>183</v>
      </c>
      <c r="J3">
        <v>21547</v>
      </c>
      <c r="K3" s="110">
        <v>2000</v>
      </c>
    </row>
    <row r="4" spans="1:11" hidden="1" x14ac:dyDescent="0.35">
      <c r="A4">
        <v>3</v>
      </c>
      <c r="B4" t="s">
        <v>184</v>
      </c>
      <c r="C4">
        <v>2015</v>
      </c>
      <c r="D4" s="56">
        <v>3</v>
      </c>
      <c r="E4" s="109">
        <v>42255</v>
      </c>
      <c r="F4" s="110">
        <v>0.5</v>
      </c>
      <c r="G4" s="56">
        <v>4000</v>
      </c>
      <c r="H4" s="110">
        <f>Table243[[#This Row],[Price]]*Table243[[#This Row],[Quantity]]</f>
        <v>2000</v>
      </c>
      <c r="I4" t="s">
        <v>185</v>
      </c>
      <c r="J4">
        <v>546780</v>
      </c>
      <c r="K4" s="110">
        <v>1000</v>
      </c>
    </row>
    <row r="5" spans="1:11" hidden="1" x14ac:dyDescent="0.35">
      <c r="A5">
        <v>4</v>
      </c>
      <c r="B5" t="s">
        <v>186</v>
      </c>
      <c r="C5">
        <v>2015</v>
      </c>
      <c r="D5" s="56">
        <v>3</v>
      </c>
      <c r="E5" s="109">
        <v>42196</v>
      </c>
      <c r="F5" s="110">
        <v>1.25</v>
      </c>
      <c r="G5" s="56">
        <v>540</v>
      </c>
      <c r="H5" s="110">
        <f>Table243[[#This Row],[Price]]*Table243[[#This Row],[Quantity]]</f>
        <v>675</v>
      </c>
      <c r="I5" t="s">
        <v>187</v>
      </c>
      <c r="J5">
        <v>532140</v>
      </c>
      <c r="K5" s="110">
        <v>500</v>
      </c>
    </row>
    <row r="6" spans="1:11" hidden="1" x14ac:dyDescent="0.35">
      <c r="A6">
        <v>5</v>
      </c>
      <c r="B6" t="s">
        <v>188</v>
      </c>
      <c r="C6">
        <v>2015</v>
      </c>
      <c r="D6" s="56">
        <v>2</v>
      </c>
      <c r="E6" s="109">
        <v>42178</v>
      </c>
      <c r="F6" s="110">
        <v>1.25</v>
      </c>
      <c r="G6" s="56">
        <v>1450</v>
      </c>
      <c r="H6" s="110">
        <f>Table243[[#This Row],[Price]]*Table243[[#This Row],[Quantity]]</f>
        <v>1812.5</v>
      </c>
      <c r="I6" t="s">
        <v>187</v>
      </c>
      <c r="J6">
        <v>530124</v>
      </c>
      <c r="K6" s="110">
        <v>1300</v>
      </c>
    </row>
    <row r="7" spans="1:11" hidden="1" x14ac:dyDescent="0.35">
      <c r="A7">
        <v>6</v>
      </c>
      <c r="B7" t="s">
        <v>189</v>
      </c>
      <c r="C7">
        <v>2015</v>
      </c>
      <c r="D7" s="56">
        <v>4</v>
      </c>
      <c r="E7" s="109">
        <v>42356</v>
      </c>
      <c r="F7" s="110">
        <v>2.5</v>
      </c>
      <c r="G7" s="56">
        <v>600</v>
      </c>
      <c r="H7" s="110">
        <f>Table243[[#This Row],[Price]]*Table243[[#This Row],[Quantity]]</f>
        <v>1500</v>
      </c>
      <c r="I7" t="s">
        <v>185</v>
      </c>
      <c r="J7">
        <v>621450</v>
      </c>
      <c r="K7" s="110">
        <v>875</v>
      </c>
    </row>
    <row r="8" spans="1:11" hidden="1" x14ac:dyDescent="0.35">
      <c r="A8">
        <v>7</v>
      </c>
      <c r="B8" t="s">
        <v>190</v>
      </c>
      <c r="C8">
        <v>2014</v>
      </c>
      <c r="D8" s="56">
        <v>4</v>
      </c>
      <c r="E8" s="109">
        <v>41916</v>
      </c>
      <c r="F8" s="110">
        <v>0.75</v>
      </c>
      <c r="G8" s="56">
        <v>230</v>
      </c>
      <c r="H8" s="110">
        <f>Table243[[#This Row],[Price]]*Table243[[#This Row],[Quantity]]</f>
        <v>172.5</v>
      </c>
      <c r="I8" t="s">
        <v>191</v>
      </c>
      <c r="J8">
        <v>22450</v>
      </c>
      <c r="K8" s="110">
        <v>125</v>
      </c>
    </row>
    <row r="9" spans="1:11" hidden="1" x14ac:dyDescent="0.35">
      <c r="A9">
        <v>8</v>
      </c>
      <c r="B9" t="s">
        <v>192</v>
      </c>
      <c r="C9">
        <v>2015</v>
      </c>
      <c r="D9" s="56">
        <v>4</v>
      </c>
      <c r="E9" s="109">
        <v>42325</v>
      </c>
      <c r="F9" s="110">
        <v>0.875</v>
      </c>
      <c r="G9" s="56">
        <v>580</v>
      </c>
      <c r="H9" s="110">
        <f>Table243[[#This Row],[Price]]*Table243[[#This Row],[Quantity]]</f>
        <v>507.5</v>
      </c>
      <c r="I9" t="s">
        <v>183</v>
      </c>
      <c r="J9">
        <v>234456</v>
      </c>
      <c r="K9" s="110">
        <v>587.5</v>
      </c>
    </row>
    <row r="10" spans="1:11" hidden="1" x14ac:dyDescent="0.35">
      <c r="A10">
        <v>9</v>
      </c>
      <c r="B10" t="s">
        <v>193</v>
      </c>
      <c r="C10">
        <v>2015</v>
      </c>
      <c r="D10" s="56">
        <v>4</v>
      </c>
      <c r="E10" s="109">
        <v>42346</v>
      </c>
      <c r="F10" s="110">
        <v>0.625</v>
      </c>
      <c r="G10" s="56">
        <v>453</v>
      </c>
      <c r="H10" s="110">
        <f>Table243[[#This Row],[Price]]*Table243[[#This Row],[Quantity]]</f>
        <v>283.125</v>
      </c>
      <c r="I10" t="s">
        <v>183</v>
      </c>
      <c r="J10">
        <v>322156</v>
      </c>
      <c r="K10" s="110">
        <v>230</v>
      </c>
    </row>
    <row r="11" spans="1:11" hidden="1" x14ac:dyDescent="0.35">
      <c r="A11">
        <v>10</v>
      </c>
      <c r="B11" t="s">
        <v>194</v>
      </c>
      <c r="C11">
        <v>2015</v>
      </c>
      <c r="D11" s="56">
        <v>4</v>
      </c>
      <c r="E11" s="109">
        <v>42314</v>
      </c>
      <c r="F11" s="110">
        <v>0.25</v>
      </c>
      <c r="G11" s="56">
        <v>800</v>
      </c>
      <c r="H11" s="110">
        <f>Table243[[#This Row],[Price]]*Table243[[#This Row],[Quantity]]</f>
        <v>200</v>
      </c>
      <c r="I11" t="s">
        <v>185</v>
      </c>
      <c r="J11">
        <v>34458</v>
      </c>
      <c r="K11" s="110">
        <v>35</v>
      </c>
    </row>
    <row r="12" spans="1:11" x14ac:dyDescent="0.35">
      <c r="A12">
        <v>11</v>
      </c>
      <c r="B12" t="s">
        <v>195</v>
      </c>
      <c r="C12">
        <v>2015</v>
      </c>
      <c r="D12" s="56">
        <v>4</v>
      </c>
      <c r="E12" s="109">
        <v>42302</v>
      </c>
      <c r="F12" s="110">
        <v>5</v>
      </c>
      <c r="G12" s="56">
        <v>9000</v>
      </c>
      <c r="H12" s="110">
        <f>Table243[[#This Row],[Price]]*Table243[[#This Row],[Quantity]]</f>
        <v>45000</v>
      </c>
      <c r="I12" t="s">
        <v>181</v>
      </c>
      <c r="J12">
        <v>215889</v>
      </c>
      <c r="K12" s="110">
        <v>37500</v>
      </c>
    </row>
    <row r="13" spans="1:11" hidden="1" x14ac:dyDescent="0.35">
      <c r="A13">
        <v>12</v>
      </c>
      <c r="B13" t="s">
        <v>196</v>
      </c>
      <c r="C13">
        <v>2015</v>
      </c>
      <c r="D13" s="56">
        <v>3</v>
      </c>
      <c r="E13" s="109">
        <v>42236</v>
      </c>
      <c r="F13" s="110">
        <v>5.25</v>
      </c>
      <c r="G13" s="56">
        <v>200</v>
      </c>
      <c r="H13" s="110">
        <f>Table243[[#This Row],[Price]]*Table243[[#This Row],[Quantity]]</f>
        <v>1050</v>
      </c>
      <c r="I13" t="s">
        <v>181</v>
      </c>
      <c r="J13">
        <v>244569</v>
      </c>
      <c r="K13" s="110">
        <v>575</v>
      </c>
    </row>
    <row r="14" spans="1:11" hidden="1" x14ac:dyDescent="0.35">
      <c r="A14">
        <v>13</v>
      </c>
      <c r="B14" t="s">
        <v>197</v>
      </c>
      <c r="C14">
        <v>2014</v>
      </c>
      <c r="D14" s="56">
        <v>3</v>
      </c>
      <c r="E14" s="109">
        <v>41905</v>
      </c>
      <c r="F14" s="110">
        <v>5.375</v>
      </c>
      <c r="G14" s="56">
        <v>1400</v>
      </c>
      <c r="H14" s="110">
        <f>Table243[[#This Row],[Price]]*Table243[[#This Row],[Quantity]]</f>
        <v>7525</v>
      </c>
      <c r="I14" t="s">
        <v>187</v>
      </c>
      <c r="J14">
        <v>265447</v>
      </c>
      <c r="K14" s="110">
        <v>3750</v>
      </c>
    </row>
    <row r="15" spans="1:11" hidden="1" x14ac:dyDescent="0.35">
      <c r="A15">
        <v>14</v>
      </c>
      <c r="B15" t="s">
        <v>198</v>
      </c>
      <c r="C15">
        <v>2014</v>
      </c>
      <c r="D15" s="56">
        <v>3</v>
      </c>
      <c r="E15" s="109">
        <v>41856</v>
      </c>
      <c r="F15" s="110">
        <v>5.5</v>
      </c>
      <c r="G15" s="56">
        <v>350</v>
      </c>
      <c r="H15" s="110">
        <f>Table243[[#This Row],[Price]]*Table243[[#This Row],[Quantity]]</f>
        <v>1925</v>
      </c>
      <c r="I15" t="s">
        <v>185</v>
      </c>
      <c r="J15">
        <v>45569</v>
      </c>
      <c r="K15" s="110">
        <v>1300</v>
      </c>
    </row>
    <row r="16" spans="1:11" hidden="1" x14ac:dyDescent="0.35">
      <c r="A16">
        <v>15</v>
      </c>
      <c r="B16" t="s">
        <v>199</v>
      </c>
      <c r="C16">
        <v>2014</v>
      </c>
      <c r="D16" s="56">
        <v>3</v>
      </c>
      <c r="E16" s="109">
        <v>41877</v>
      </c>
      <c r="F16" s="110">
        <v>0.42499999999999999</v>
      </c>
      <c r="G16" s="56">
        <v>600</v>
      </c>
      <c r="H16" s="110">
        <f>Table243[[#This Row],[Price]]*Table243[[#This Row],[Quantity]]</f>
        <v>255</v>
      </c>
      <c r="I16" t="s">
        <v>185</v>
      </c>
      <c r="J16">
        <v>3325554</v>
      </c>
      <c r="K16" s="110">
        <v>155</v>
      </c>
    </row>
    <row r="17" spans="1:12" hidden="1" x14ac:dyDescent="0.35">
      <c r="A17">
        <v>16</v>
      </c>
      <c r="B17" t="s">
        <v>200</v>
      </c>
      <c r="C17">
        <v>2015</v>
      </c>
      <c r="D17" s="56">
        <v>4</v>
      </c>
      <c r="E17" s="109">
        <v>42296</v>
      </c>
      <c r="F17" s="110">
        <v>2</v>
      </c>
      <c r="G17" s="56">
        <v>840</v>
      </c>
      <c r="H17" s="110">
        <f>Table243[[#This Row],[Price]]*Table243[[#This Row],[Quantity]]</f>
        <v>1680</v>
      </c>
      <c r="I17" t="s">
        <v>183</v>
      </c>
      <c r="J17">
        <v>24489</v>
      </c>
      <c r="K17" s="110">
        <v>587.5</v>
      </c>
    </row>
    <row r="18" spans="1:12" hidden="1" x14ac:dyDescent="0.35">
      <c r="A18">
        <v>17</v>
      </c>
      <c r="B18" t="s">
        <v>201</v>
      </c>
      <c r="C18">
        <v>2015</v>
      </c>
      <c r="D18" s="56">
        <v>2</v>
      </c>
      <c r="E18" s="109">
        <v>42131</v>
      </c>
      <c r="F18" s="110">
        <v>7</v>
      </c>
      <c r="G18" s="56">
        <v>230</v>
      </c>
      <c r="H18" s="110">
        <f>Table243[[#This Row],[Price]]*Table243[[#This Row],[Quantity]]</f>
        <v>1610</v>
      </c>
      <c r="I18" t="s">
        <v>183</v>
      </c>
      <c r="J18">
        <v>255630</v>
      </c>
      <c r="K18" s="110">
        <v>1500</v>
      </c>
    </row>
    <row r="19" spans="1:12" x14ac:dyDescent="0.35">
      <c r="A19">
        <v>18</v>
      </c>
      <c r="B19" t="s">
        <v>202</v>
      </c>
      <c r="C19">
        <v>2015</v>
      </c>
      <c r="D19" s="56">
        <v>4</v>
      </c>
      <c r="E19" s="109">
        <v>42338</v>
      </c>
      <c r="F19" s="110">
        <v>8.75</v>
      </c>
      <c r="G19" s="56">
        <v>210</v>
      </c>
      <c r="H19" s="110">
        <f>Table243[[#This Row],[Price]]*Table243[[#This Row],[Quantity]]</f>
        <v>1837.5</v>
      </c>
      <c r="I19" t="s">
        <v>187</v>
      </c>
      <c r="J19">
        <v>452130</v>
      </c>
      <c r="K19" s="110">
        <v>1140</v>
      </c>
    </row>
    <row r="22" spans="1:12" x14ac:dyDescent="0.35">
      <c r="A22" s="111" t="s">
        <v>171</v>
      </c>
      <c r="B22" s="111" t="s">
        <v>172</v>
      </c>
      <c r="C22" s="111" t="s">
        <v>0</v>
      </c>
      <c r="D22" s="111" t="s">
        <v>173</v>
      </c>
      <c r="E22" s="111" t="s">
        <v>174</v>
      </c>
      <c r="F22" s="111" t="s">
        <v>175</v>
      </c>
      <c r="G22" s="111" t="s">
        <v>106</v>
      </c>
      <c r="H22" s="111" t="s">
        <v>176</v>
      </c>
      <c r="I22" s="111" t="s">
        <v>177</v>
      </c>
      <c r="J22" s="111" t="s">
        <v>178</v>
      </c>
      <c r="K22" s="111" t="s">
        <v>179</v>
      </c>
      <c r="L22" s="111" t="s">
        <v>205</v>
      </c>
    </row>
    <row r="23" spans="1:12" x14ac:dyDescent="0.35">
      <c r="A23" s="112"/>
      <c r="B23" s="112" t="s">
        <v>206</v>
      </c>
      <c r="C23" s="112">
        <v>2015</v>
      </c>
      <c r="D23" s="112"/>
      <c r="E23" s="123"/>
      <c r="F23" s="112"/>
      <c r="G23" s="124"/>
      <c r="H23" s="112"/>
      <c r="I23" s="113"/>
      <c r="J23" s="112"/>
      <c r="K23" s="112"/>
      <c r="L23" s="125" t="b">
        <f>AND(MONTH(E2)&gt;8,MONTH(E2)&lt;12)</f>
        <v>0</v>
      </c>
    </row>
    <row r="24" spans="1:12" x14ac:dyDescent="0.35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</row>
    <row r="25" spans="1:12" x14ac:dyDescent="0.35">
      <c r="A25" s="112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</row>
    <row r="26" spans="1:12" x14ac:dyDescent="0.35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</row>
    <row r="27" spans="1:12" x14ac:dyDescent="0.35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26"/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AA6AD-0C4F-427D-BCC0-813FBBEED3CE}">
  <sheetPr codeName="Hárok8" filterMode="1"/>
  <dimension ref="A1:M27"/>
  <sheetViews>
    <sheetView workbookViewId="0">
      <selection activeCell="O21" sqref="O21"/>
    </sheetView>
  </sheetViews>
  <sheetFormatPr defaultRowHeight="14.5" x14ac:dyDescent="0.35"/>
  <cols>
    <col min="1" max="1" width="5.08984375" customWidth="1"/>
    <col min="2" max="2" width="26.08984375" customWidth="1"/>
    <col min="3" max="3" width="7.36328125" bestFit="1" customWidth="1"/>
    <col min="4" max="4" width="9.54296875" customWidth="1"/>
    <col min="5" max="5" width="14.90625" customWidth="1"/>
    <col min="6" max="6" width="7.90625" customWidth="1"/>
    <col min="7" max="7" width="10.90625" customWidth="1"/>
    <col min="8" max="8" width="16.54296875" customWidth="1"/>
    <col min="9" max="9" width="13.453125" customWidth="1"/>
    <col min="10" max="10" width="14.36328125" customWidth="1"/>
    <col min="11" max="11" width="12.1796875" bestFit="1" customWidth="1"/>
  </cols>
  <sheetData>
    <row r="1" spans="1:13" x14ac:dyDescent="0.35">
      <c r="A1" t="s">
        <v>171</v>
      </c>
      <c r="B1" t="s">
        <v>172</v>
      </c>
      <c r="C1" t="s">
        <v>0</v>
      </c>
      <c r="D1" t="s">
        <v>173</v>
      </c>
      <c r="E1" t="s">
        <v>174</v>
      </c>
      <c r="F1" t="s">
        <v>175</v>
      </c>
      <c r="G1" t="s">
        <v>106</v>
      </c>
      <c r="H1" t="s">
        <v>176</v>
      </c>
      <c r="I1" t="s">
        <v>177</v>
      </c>
      <c r="J1" t="s">
        <v>178</v>
      </c>
      <c r="K1" t="s">
        <v>179</v>
      </c>
    </row>
    <row r="2" spans="1:13" x14ac:dyDescent="0.35">
      <c r="A2">
        <v>1</v>
      </c>
      <c r="B2" t="s">
        <v>180</v>
      </c>
      <c r="C2">
        <v>2014</v>
      </c>
      <c r="D2" s="56">
        <v>4</v>
      </c>
      <c r="E2" s="109">
        <v>41974</v>
      </c>
      <c r="F2" s="110">
        <v>3.75</v>
      </c>
      <c r="G2" s="56">
        <v>1500</v>
      </c>
      <c r="H2" s="110">
        <f>Table2434[[#This Row],[Price]]*Table2434[[#This Row],[Quantity]]</f>
        <v>5625</v>
      </c>
      <c r="I2" t="s">
        <v>181</v>
      </c>
      <c r="J2">
        <v>2456</v>
      </c>
      <c r="K2" s="110">
        <v>300</v>
      </c>
    </row>
    <row r="3" spans="1:13" x14ac:dyDescent="0.35">
      <c r="A3">
        <v>2</v>
      </c>
      <c r="B3" t="s">
        <v>182</v>
      </c>
      <c r="C3">
        <v>2014</v>
      </c>
      <c r="D3" s="56">
        <v>2</v>
      </c>
      <c r="E3" s="109">
        <v>41815</v>
      </c>
      <c r="F3" s="110">
        <v>0.5</v>
      </c>
      <c r="G3" s="56">
        <v>4000</v>
      </c>
      <c r="H3" s="110">
        <f>Table2434[[#This Row],[Price]]*Table2434[[#This Row],[Quantity]]</f>
        <v>2000</v>
      </c>
      <c r="I3" t="s">
        <v>183</v>
      </c>
      <c r="J3">
        <v>21547</v>
      </c>
      <c r="K3" s="110">
        <v>2000</v>
      </c>
    </row>
    <row r="4" spans="1:13" x14ac:dyDescent="0.35">
      <c r="A4">
        <v>3</v>
      </c>
      <c r="B4" t="s">
        <v>184</v>
      </c>
      <c r="C4">
        <v>2015</v>
      </c>
      <c r="D4" s="56">
        <v>3</v>
      </c>
      <c r="E4" s="109">
        <v>42255</v>
      </c>
      <c r="F4" s="110">
        <v>0.5</v>
      </c>
      <c r="G4" s="56">
        <v>4000</v>
      </c>
      <c r="H4" s="110">
        <f>Table2434[[#This Row],[Price]]*Table2434[[#This Row],[Quantity]]</f>
        <v>2000</v>
      </c>
      <c r="I4" t="s">
        <v>185</v>
      </c>
      <c r="J4">
        <v>546780</v>
      </c>
      <c r="K4" s="110">
        <v>1000</v>
      </c>
    </row>
    <row r="5" spans="1:13" hidden="1" x14ac:dyDescent="0.35">
      <c r="A5">
        <v>4</v>
      </c>
      <c r="B5" t="s">
        <v>186</v>
      </c>
      <c r="C5">
        <v>2015</v>
      </c>
      <c r="D5" s="56">
        <v>3</v>
      </c>
      <c r="E5" s="109">
        <v>42196</v>
      </c>
      <c r="F5" s="110">
        <v>1.25</v>
      </c>
      <c r="G5" s="56">
        <v>540</v>
      </c>
      <c r="H5" s="110">
        <f>Table2434[[#This Row],[Price]]*Table2434[[#This Row],[Quantity]]</f>
        <v>675</v>
      </c>
      <c r="I5" t="s">
        <v>187</v>
      </c>
      <c r="J5">
        <v>532140</v>
      </c>
      <c r="K5" s="110">
        <v>500</v>
      </c>
    </row>
    <row r="6" spans="1:13" x14ac:dyDescent="0.35">
      <c r="A6">
        <v>5</v>
      </c>
      <c r="B6" t="s">
        <v>188</v>
      </c>
      <c r="C6">
        <v>2015</v>
      </c>
      <c r="D6" s="56">
        <v>2</v>
      </c>
      <c r="E6" s="109">
        <v>42178</v>
      </c>
      <c r="F6" s="110">
        <v>1.25</v>
      </c>
      <c r="G6" s="56">
        <v>1450</v>
      </c>
      <c r="H6" s="110">
        <f>Table2434[[#This Row],[Price]]*Table2434[[#This Row],[Quantity]]</f>
        <v>1812.5</v>
      </c>
      <c r="I6" t="s">
        <v>187</v>
      </c>
      <c r="J6">
        <v>530124</v>
      </c>
      <c r="K6" s="110">
        <v>1300</v>
      </c>
    </row>
    <row r="7" spans="1:13" hidden="1" x14ac:dyDescent="0.35">
      <c r="A7">
        <v>6</v>
      </c>
      <c r="B7" t="s">
        <v>189</v>
      </c>
      <c r="C7">
        <v>2015</v>
      </c>
      <c r="D7" s="56">
        <v>4</v>
      </c>
      <c r="E7" s="109">
        <v>42356</v>
      </c>
      <c r="F7" s="110">
        <v>2.5</v>
      </c>
      <c r="G7" s="56">
        <v>600</v>
      </c>
      <c r="H7" s="110">
        <f>Table2434[[#This Row],[Price]]*Table2434[[#This Row],[Quantity]]</f>
        <v>1500</v>
      </c>
      <c r="I7" t="s">
        <v>185</v>
      </c>
      <c r="J7">
        <v>621450</v>
      </c>
      <c r="K7" s="110">
        <v>875</v>
      </c>
    </row>
    <row r="8" spans="1:13" hidden="1" x14ac:dyDescent="0.35">
      <c r="A8">
        <v>7</v>
      </c>
      <c r="B8" t="s">
        <v>190</v>
      </c>
      <c r="C8">
        <v>2014</v>
      </c>
      <c r="D8" s="56">
        <v>4</v>
      </c>
      <c r="E8" s="109">
        <v>41916</v>
      </c>
      <c r="F8" s="110">
        <v>0.75</v>
      </c>
      <c r="G8" s="56">
        <v>230</v>
      </c>
      <c r="H8" s="110">
        <f>Table2434[[#This Row],[Price]]*Table2434[[#This Row],[Quantity]]</f>
        <v>172.5</v>
      </c>
      <c r="I8" t="s">
        <v>191</v>
      </c>
      <c r="J8">
        <v>22450</v>
      </c>
      <c r="K8" s="110">
        <v>125</v>
      </c>
    </row>
    <row r="9" spans="1:13" hidden="1" x14ac:dyDescent="0.35">
      <c r="A9">
        <v>8</v>
      </c>
      <c r="B9" t="s">
        <v>192</v>
      </c>
      <c r="C9">
        <v>2015</v>
      </c>
      <c r="D9" s="56">
        <v>4</v>
      </c>
      <c r="E9" s="109">
        <v>42325</v>
      </c>
      <c r="F9" s="110">
        <v>0.875</v>
      </c>
      <c r="G9" s="56">
        <v>580</v>
      </c>
      <c r="H9" s="110">
        <f>Table2434[[#This Row],[Price]]*Table2434[[#This Row],[Quantity]]</f>
        <v>507.5</v>
      </c>
      <c r="I9" t="s">
        <v>183</v>
      </c>
      <c r="J9">
        <v>234456</v>
      </c>
      <c r="K9" s="110">
        <v>587.5</v>
      </c>
    </row>
    <row r="10" spans="1:13" hidden="1" x14ac:dyDescent="0.35">
      <c r="A10">
        <v>9</v>
      </c>
      <c r="B10" t="s">
        <v>193</v>
      </c>
      <c r="C10">
        <v>2015</v>
      </c>
      <c r="D10" s="56">
        <v>4</v>
      </c>
      <c r="E10" s="109">
        <v>42346</v>
      </c>
      <c r="F10" s="110">
        <v>0.625</v>
      </c>
      <c r="G10" s="56">
        <v>453</v>
      </c>
      <c r="H10" s="110">
        <f>Table2434[[#This Row],[Price]]*Table2434[[#This Row],[Quantity]]</f>
        <v>283.125</v>
      </c>
      <c r="I10" t="s">
        <v>183</v>
      </c>
      <c r="J10">
        <v>322156</v>
      </c>
      <c r="K10" s="110">
        <v>230</v>
      </c>
    </row>
    <row r="11" spans="1:13" x14ac:dyDescent="0.35">
      <c r="A11">
        <v>10</v>
      </c>
      <c r="B11" t="s">
        <v>194</v>
      </c>
      <c r="C11">
        <v>2015</v>
      </c>
      <c r="D11" s="56">
        <v>4</v>
      </c>
      <c r="E11" s="109">
        <v>42314</v>
      </c>
      <c r="F11" s="110">
        <v>0.25</v>
      </c>
      <c r="G11" s="56">
        <v>800</v>
      </c>
      <c r="H11" s="110">
        <f>Table2434[[#This Row],[Price]]*Table2434[[#This Row],[Quantity]]</f>
        <v>200</v>
      </c>
      <c r="I11" t="s">
        <v>185</v>
      </c>
      <c r="J11">
        <v>34458</v>
      </c>
      <c r="K11" s="110">
        <v>35</v>
      </c>
    </row>
    <row r="12" spans="1:13" x14ac:dyDescent="0.35">
      <c r="A12">
        <v>11</v>
      </c>
      <c r="B12" t="s">
        <v>195</v>
      </c>
      <c r="C12">
        <v>2015</v>
      </c>
      <c r="D12" s="56">
        <v>4</v>
      </c>
      <c r="E12" s="109">
        <v>42302</v>
      </c>
      <c r="F12" s="110">
        <v>5</v>
      </c>
      <c r="G12" s="56">
        <v>9000</v>
      </c>
      <c r="H12" s="110">
        <f>Table2434[[#This Row],[Price]]*Table2434[[#This Row],[Quantity]]</f>
        <v>45000</v>
      </c>
      <c r="I12" t="s">
        <v>181</v>
      </c>
      <c r="J12">
        <v>215889</v>
      </c>
      <c r="K12" s="110">
        <v>37500</v>
      </c>
    </row>
    <row r="13" spans="1:13" hidden="1" x14ac:dyDescent="0.35">
      <c r="A13">
        <v>12</v>
      </c>
      <c r="B13" t="s">
        <v>196</v>
      </c>
      <c r="C13">
        <v>2015</v>
      </c>
      <c r="D13" s="56">
        <v>3</v>
      </c>
      <c r="E13" s="109">
        <v>42236</v>
      </c>
      <c r="F13" s="110">
        <v>5.25</v>
      </c>
      <c r="G13" s="56">
        <v>200</v>
      </c>
      <c r="H13" s="110">
        <f>Table2434[[#This Row],[Price]]*Table2434[[#This Row],[Quantity]]</f>
        <v>1050</v>
      </c>
      <c r="I13" t="s">
        <v>181</v>
      </c>
      <c r="J13">
        <v>244569</v>
      </c>
      <c r="K13" s="110">
        <v>575</v>
      </c>
      <c r="M13">
        <f>MEDIAN(Table2434[Quantity])</f>
        <v>600</v>
      </c>
    </row>
    <row r="14" spans="1:13" x14ac:dyDescent="0.35">
      <c r="A14">
        <v>13</v>
      </c>
      <c r="B14" t="s">
        <v>197</v>
      </c>
      <c r="C14">
        <v>2014</v>
      </c>
      <c r="D14" s="56">
        <v>3</v>
      </c>
      <c r="E14" s="109">
        <v>41905</v>
      </c>
      <c r="F14" s="110">
        <v>5.375</v>
      </c>
      <c r="G14" s="56">
        <v>1400</v>
      </c>
      <c r="H14" s="110">
        <f>Table2434[[#This Row],[Price]]*Table2434[[#This Row],[Quantity]]</f>
        <v>7525</v>
      </c>
      <c r="I14" t="s">
        <v>187</v>
      </c>
      <c r="J14">
        <v>265447</v>
      </c>
      <c r="K14" s="110">
        <v>3750</v>
      </c>
    </row>
    <row r="15" spans="1:13" hidden="1" x14ac:dyDescent="0.35">
      <c r="A15">
        <v>14</v>
      </c>
      <c r="B15" t="s">
        <v>198</v>
      </c>
      <c r="C15">
        <v>2014</v>
      </c>
      <c r="D15" s="56">
        <v>3</v>
      </c>
      <c r="E15" s="109">
        <v>41856</v>
      </c>
      <c r="F15" s="110">
        <v>5.5</v>
      </c>
      <c r="G15" s="56">
        <v>350</v>
      </c>
      <c r="H15" s="110">
        <f>Table2434[[#This Row],[Price]]*Table2434[[#This Row],[Quantity]]</f>
        <v>1925</v>
      </c>
      <c r="I15" t="s">
        <v>185</v>
      </c>
      <c r="J15">
        <v>45569</v>
      </c>
      <c r="K15" s="110">
        <v>1300</v>
      </c>
    </row>
    <row r="16" spans="1:13" hidden="1" x14ac:dyDescent="0.35">
      <c r="A16">
        <v>15</v>
      </c>
      <c r="B16" t="s">
        <v>199</v>
      </c>
      <c r="C16">
        <v>2014</v>
      </c>
      <c r="D16" s="56">
        <v>3</v>
      </c>
      <c r="E16" s="109">
        <v>41877</v>
      </c>
      <c r="F16" s="110">
        <v>0.42499999999999999</v>
      </c>
      <c r="G16" s="56">
        <v>600</v>
      </c>
      <c r="H16" s="110">
        <f>Table2434[[#This Row],[Price]]*Table2434[[#This Row],[Quantity]]</f>
        <v>255</v>
      </c>
      <c r="I16" t="s">
        <v>185</v>
      </c>
      <c r="J16">
        <v>3325554</v>
      </c>
      <c r="K16" s="110">
        <v>155</v>
      </c>
    </row>
    <row r="17" spans="1:12" x14ac:dyDescent="0.35">
      <c r="A17">
        <v>16</v>
      </c>
      <c r="B17" t="s">
        <v>200</v>
      </c>
      <c r="C17">
        <v>2015</v>
      </c>
      <c r="D17" s="56">
        <v>4</v>
      </c>
      <c r="E17" s="109">
        <v>42296</v>
      </c>
      <c r="F17" s="110">
        <v>2</v>
      </c>
      <c r="G17" s="56">
        <v>840</v>
      </c>
      <c r="H17" s="110">
        <f>Table2434[[#This Row],[Price]]*Table2434[[#This Row],[Quantity]]</f>
        <v>1680</v>
      </c>
      <c r="I17" t="s">
        <v>183</v>
      </c>
      <c r="J17">
        <v>24489</v>
      </c>
      <c r="K17" s="110">
        <v>587.5</v>
      </c>
    </row>
    <row r="18" spans="1:12" hidden="1" x14ac:dyDescent="0.35">
      <c r="A18">
        <v>17</v>
      </c>
      <c r="B18" t="s">
        <v>201</v>
      </c>
      <c r="C18">
        <v>2015</v>
      </c>
      <c r="D18" s="56">
        <v>2</v>
      </c>
      <c r="E18" s="109">
        <v>42131</v>
      </c>
      <c r="F18" s="110">
        <v>7</v>
      </c>
      <c r="G18" s="56">
        <v>230</v>
      </c>
      <c r="H18" s="110">
        <f>Table2434[[#This Row],[Price]]*Table2434[[#This Row],[Quantity]]</f>
        <v>1610</v>
      </c>
      <c r="I18" t="s">
        <v>183</v>
      </c>
      <c r="J18">
        <v>255630</v>
      </c>
      <c r="K18" s="110">
        <v>1500</v>
      </c>
    </row>
    <row r="19" spans="1:12" hidden="1" x14ac:dyDescent="0.35">
      <c r="A19">
        <v>18</v>
      </c>
      <c r="B19" t="s">
        <v>202</v>
      </c>
      <c r="C19">
        <v>2015</v>
      </c>
      <c r="D19" s="56">
        <v>4</v>
      </c>
      <c r="E19" s="109">
        <v>42338</v>
      </c>
      <c r="F19" s="110">
        <v>8.75</v>
      </c>
      <c r="G19" s="56">
        <v>210</v>
      </c>
      <c r="H19" s="110">
        <f>Table2434[[#This Row],[Price]]*Table2434[[#This Row],[Quantity]]</f>
        <v>1837.5</v>
      </c>
      <c r="I19" t="s">
        <v>187</v>
      </c>
      <c r="J19">
        <v>452130</v>
      </c>
      <c r="K19" s="110">
        <v>1140</v>
      </c>
    </row>
    <row r="22" spans="1:12" x14ac:dyDescent="0.35">
      <c r="A22" s="111" t="s">
        <v>171</v>
      </c>
      <c r="B22" s="111" t="s">
        <v>172</v>
      </c>
      <c r="C22" s="111" t="s">
        <v>0</v>
      </c>
      <c r="D22" s="111" t="s">
        <v>173</v>
      </c>
      <c r="E22" s="111" t="s">
        <v>174</v>
      </c>
      <c r="F22" s="111" t="s">
        <v>175</v>
      </c>
      <c r="G22" s="111" t="s">
        <v>106</v>
      </c>
      <c r="H22" s="111" t="s">
        <v>176</v>
      </c>
      <c r="I22" s="111" t="s">
        <v>177</v>
      </c>
      <c r="J22" s="111" t="s">
        <v>178</v>
      </c>
      <c r="K22" s="111" t="s">
        <v>179</v>
      </c>
      <c r="L22" s="111" t="s">
        <v>204</v>
      </c>
    </row>
    <row r="23" spans="1:12" x14ac:dyDescent="0.35">
      <c r="A23" s="112"/>
      <c r="B23" s="112"/>
      <c r="C23" s="112"/>
      <c r="D23" s="112"/>
      <c r="E23" s="123"/>
      <c r="F23" s="112"/>
      <c r="G23" s="124"/>
      <c r="H23" s="112"/>
      <c r="I23" s="113"/>
      <c r="J23" s="112"/>
      <c r="K23" s="112"/>
      <c r="L23" s="125" t="b">
        <f>G2&gt;MEDIAN(Table2434[Quantity])</f>
        <v>1</v>
      </c>
    </row>
    <row r="24" spans="1:12" x14ac:dyDescent="0.35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</row>
    <row r="25" spans="1:12" x14ac:dyDescent="0.35">
      <c r="A25" s="112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</row>
    <row r="26" spans="1:12" x14ac:dyDescent="0.35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</row>
    <row r="27" spans="1:12" x14ac:dyDescent="0.35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26"/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6</vt:i4>
      </vt:variant>
    </vt:vector>
  </HeadingPairs>
  <TitlesOfParts>
    <vt:vector size="14" baseType="lpstr">
      <vt:lpstr>Date functions</vt:lpstr>
      <vt:lpstr>Logical functions</vt:lpstr>
      <vt:lpstr>lookup functions</vt:lpstr>
      <vt:lpstr>Conditional formatting</vt:lpstr>
      <vt:lpstr>Solver</vt:lpstr>
      <vt:lpstr>1. advanced filter</vt:lpstr>
      <vt:lpstr>2. advanced filter</vt:lpstr>
      <vt:lpstr>3. advanced filter</vt:lpstr>
      <vt:lpstr>Hours</vt:lpstr>
      <vt:lpstr>'1. advanced filter'!Kriteria</vt:lpstr>
      <vt:lpstr>'2. advanced filter'!Kriteria</vt:lpstr>
      <vt:lpstr>'3. advanced filter'!Kriteria</vt:lpstr>
      <vt:lpstr>Rates</vt:lpstr>
      <vt:lpstr>RatesTable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Radka Kacová</cp:lastModifiedBy>
  <dcterms:created xsi:type="dcterms:W3CDTF">2020-03-25T15:31:33Z</dcterms:created>
  <dcterms:modified xsi:type="dcterms:W3CDTF">2021-05-10T09:04:38Z</dcterms:modified>
</cp:coreProperties>
</file>